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conner\Desktop\Downloadable Content\Measuring Impacts\"/>
    </mc:Choice>
  </mc:AlternateContent>
  <bookViews>
    <workbookView xWindow="0" yWindow="0" windowWidth="19200" windowHeight="7060" tabRatio="790"/>
  </bookViews>
  <sheets>
    <sheet name="Financial impact rollup" sheetId="11" r:id="rId1"/>
    <sheet name="SMED" sheetId="1" r:id="rId2"/>
    <sheet name="TPM" sheetId="3" r:id="rId3"/>
    <sheet name="Inventory" sheetId="5" r:id="rId4"/>
    <sheet name="Quality" sheetId="10" r:id="rId5"/>
    <sheet name="5-S" sheetId="2" r:id="rId6"/>
    <sheet name="Training Level" sheetId="4" r:id="rId7"/>
    <sheet name="POUS" sheetId="9" r:id="rId8"/>
    <sheet name="Transportation" sheetId="6" r:id="rId9"/>
    <sheet name="Turnover" sheetId="7" r:id="rId10"/>
    <sheet name="Floor Space" sheetId="8" r:id="rId11"/>
    <sheet name="Top Line Growth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0" l="1"/>
  <c r="C10" i="10"/>
  <c r="C9" i="10"/>
  <c r="C11" i="3"/>
  <c r="C11" i="1"/>
  <c r="C9" i="1"/>
  <c r="C6" i="12"/>
  <c r="C5" i="8"/>
  <c r="C14" i="7"/>
  <c r="C8" i="7"/>
  <c r="C7" i="7"/>
  <c r="C11" i="7" s="1"/>
  <c r="C11" i="6"/>
  <c r="C9" i="6"/>
  <c r="C9" i="9"/>
  <c r="C8" i="2"/>
  <c r="C10" i="2"/>
  <c r="C10" i="4"/>
  <c r="C8" i="4"/>
  <c r="E35" i="4"/>
  <c r="F35" i="4"/>
  <c r="C35" i="4"/>
  <c r="C7" i="9" l="1"/>
  <c r="C11" i="10" l="1"/>
  <c r="C9" i="3"/>
  <c r="C5" i="5"/>
  <c r="C8" i="5" s="1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C117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117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117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117" i="6"/>
  <c r="F118" i="6"/>
  <c r="G118" i="6"/>
  <c r="H118" i="6"/>
  <c r="B28" i="10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C34" i="4"/>
  <c r="D34" i="4"/>
  <c r="D35" i="4" s="1"/>
  <c r="M35" i="4" s="1"/>
  <c r="E34" i="4"/>
  <c r="F34" i="4"/>
  <c r="G34" i="4"/>
  <c r="H34" i="4"/>
  <c r="I34" i="4"/>
  <c r="J34" i="4"/>
  <c r="K34" i="4"/>
  <c r="L34" i="4"/>
  <c r="M34" i="4"/>
  <c r="F19" i="3"/>
  <c r="F24" i="3"/>
  <c r="F33" i="3"/>
  <c r="J23" i="2"/>
  <c r="J53" i="2" s="1"/>
  <c r="J29" i="2"/>
  <c r="J35" i="2"/>
  <c r="J41" i="2"/>
  <c r="J47" i="2"/>
  <c r="C125" i="1"/>
  <c r="C138" i="1"/>
  <c r="E21" i="1"/>
  <c r="D22" i="1"/>
  <c r="E22" i="1"/>
  <c r="E23" i="1"/>
  <c r="D24" i="1"/>
  <c r="E24" i="1"/>
  <c r="E25" i="1"/>
  <c r="E26" i="1"/>
  <c r="E27" i="1"/>
  <c r="E28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39" i="1"/>
  <c r="D40" i="1"/>
  <c r="E40" i="1"/>
  <c r="D41" i="1"/>
  <c r="E41" i="1"/>
  <c r="E42" i="1"/>
  <c r="E43" i="1"/>
  <c r="E44" i="1"/>
  <c r="E45" i="1"/>
  <c r="E46" i="1"/>
  <c r="E47" i="1"/>
  <c r="E48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E125" i="1"/>
  <c r="C134" i="1"/>
  <c r="E134" i="1"/>
  <c r="D134" i="1"/>
  <c r="C137" i="1"/>
  <c r="C136" i="1"/>
  <c r="C133" i="1"/>
  <c r="C129" i="1"/>
  <c r="C130" i="1"/>
  <c r="C131" i="1"/>
  <c r="C132" i="1"/>
  <c r="D21" i="1"/>
  <c r="D23" i="1"/>
  <c r="D25" i="1"/>
  <c r="D26" i="1"/>
  <c r="D27" i="1"/>
  <c r="D28" i="1"/>
  <c r="D29" i="1"/>
  <c r="D39" i="1"/>
  <c r="D42" i="1"/>
  <c r="D43" i="1"/>
  <c r="D44" i="1"/>
  <c r="D45" i="1"/>
  <c r="D46" i="1"/>
  <c r="D47" i="1"/>
  <c r="D48" i="1"/>
  <c r="D49" i="1"/>
  <c r="D125" i="1"/>
  <c r="D124" i="1"/>
  <c r="D123" i="1"/>
  <c r="B5" i="11"/>
  <c r="C3" i="11"/>
  <c r="C7" i="11"/>
  <c r="C8" i="11"/>
  <c r="C9" i="11"/>
  <c r="C10" i="11"/>
  <c r="C11" i="11"/>
  <c r="C12" i="11"/>
  <c r="C13" i="11"/>
  <c r="B13" i="11"/>
  <c r="B6" i="11"/>
  <c r="B12" i="11"/>
  <c r="B11" i="11"/>
  <c r="B10" i="11"/>
  <c r="B9" i="11"/>
  <c r="B8" i="11"/>
  <c r="B4" i="11"/>
  <c r="B7" i="11"/>
  <c r="B3" i="11"/>
  <c r="F25" i="3" l="1"/>
  <c r="F30" i="3" s="1"/>
  <c r="C4" i="11"/>
  <c r="C9" i="5"/>
  <c r="C5" i="11"/>
  <c r="C17" i="11"/>
  <c r="C18" i="11" s="1"/>
  <c r="C6" i="11"/>
  <c r="F26" i="3" l="1"/>
  <c r="F35" i="3" s="1"/>
  <c r="C14" i="11"/>
</calcChain>
</file>

<file path=xl/comments1.xml><?xml version="1.0" encoding="utf-8"?>
<comments xmlns="http://schemas.openxmlformats.org/spreadsheetml/2006/main">
  <authors>
    <author>Gary Conner</author>
  </authors>
  <commentList>
    <comment ref="G2" authorId="0" shapeId="0">
      <text>
        <r>
          <rPr>
            <sz val="9"/>
            <color indexed="81"/>
            <rFont val="Tahoma"/>
            <family val="2"/>
          </rPr>
          <t xml:space="preserve">Includes full carousel change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Divided time in half because the process could not be eliminated, but improved by applying a quick connect: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Gary Conner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This value is the result of multiplying Cell F-13 and F-20, to obtain the true total OEE value
</t>
        </r>
      </text>
    </comment>
  </commentList>
</comments>
</file>

<file path=xl/comments3.xml><?xml version="1.0" encoding="utf-8"?>
<comments xmlns="http://schemas.openxmlformats.org/spreadsheetml/2006/main">
  <authors>
    <author>Gary Conner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RTY is not an average, it is each process yield multiplied by the remaiing process yields:  For example:
  99% x 99% x 99% x 99% =  96.1% </t>
        </r>
      </text>
    </comment>
  </commentList>
</comments>
</file>

<file path=xl/comments4.xml><?xml version="1.0" encoding="utf-8"?>
<comments xmlns="http://schemas.openxmlformats.org/spreadsheetml/2006/main">
  <authors>
    <author>Gary Conner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 xml:space="preserve">The goal is to have 2 people full qualified (4 points each)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The goal is to have each person fully qualified (4 points) on at least 2 operations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This value can be posted into the Impact worksheet current condition</t>
        </r>
      </text>
    </comment>
  </commentList>
</comments>
</file>

<file path=xl/comments5.xml><?xml version="1.0" encoding="utf-8"?>
<comments xmlns="http://schemas.openxmlformats.org/spreadsheetml/2006/main">
  <authors>
    <author>Gary Conner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Put an X in one of the boxes for each activity. An activity can be only:
1. Value Added
2. Necessary Non-value added
3. Unnecessary Non-value added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Gary Conner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Average 2 hour interview, average 8 interviews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80 hours x 2 people (trainer and trainee)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Assumes 20% loss in productivity for 1 year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Assumes 2% defect, rework or repair on $150,000 average productivity per person rate.</t>
        </r>
      </text>
    </comment>
  </commentList>
</comments>
</file>

<file path=xl/sharedStrings.xml><?xml version="1.0" encoding="utf-8"?>
<sst xmlns="http://schemas.openxmlformats.org/spreadsheetml/2006/main" count="581" uniqueCount="387">
  <si>
    <t>Number of machines</t>
  </si>
  <si>
    <t>Hourly wage</t>
  </si>
  <si>
    <t>Annual cost of set-ups</t>
  </si>
  <si>
    <t>A</t>
  </si>
  <si>
    <t>B</t>
  </si>
  <si>
    <t>C</t>
  </si>
  <si>
    <t>D</t>
  </si>
  <si>
    <t>Days per year</t>
  </si>
  <si>
    <t>Number of shifts</t>
  </si>
  <si>
    <t>E</t>
  </si>
  <si>
    <t>F</t>
  </si>
  <si>
    <t>Number of Operators</t>
  </si>
  <si>
    <t>Hourly Wage</t>
  </si>
  <si>
    <t>5-S Current Condition (1-5)</t>
  </si>
  <si>
    <t>5-S Target Condition (1-5)</t>
  </si>
  <si>
    <t>Minutes saved per person, per day, per point</t>
  </si>
  <si>
    <t>Number of days per year</t>
  </si>
  <si>
    <t>A*B*C*(E-D)*(F/60)</t>
  </si>
  <si>
    <t>Number of staff members</t>
  </si>
  <si>
    <t>Current condition average experience level (1-4)</t>
  </si>
  <si>
    <t>Future state average experience level (1-4)</t>
  </si>
  <si>
    <t>Improved effectiveness per level of experience</t>
  </si>
  <si>
    <t>Hours per year</t>
  </si>
  <si>
    <t>(A*(C-B)*D*E*F</t>
  </si>
  <si>
    <t>A*(C/D)</t>
  </si>
  <si>
    <t>Current inventory value</t>
  </si>
  <si>
    <t>Potential reduction in inventory</t>
  </si>
  <si>
    <t>Number of operators</t>
  </si>
  <si>
    <t>Average miles walked per hour</t>
  </si>
  <si>
    <t>Feet per mile</t>
  </si>
  <si>
    <t>Current distance (feet) traveled per person per day</t>
  </si>
  <si>
    <t>Future state distance (feet) traveled per person per day</t>
  </si>
  <si>
    <t>G</t>
  </si>
  <si>
    <t>Future state turnover rate</t>
  </si>
  <si>
    <t>Number of hours per year</t>
  </si>
  <si>
    <t>Current floor space occupied</t>
  </si>
  <si>
    <t>Future state floorspace occupied</t>
  </si>
  <si>
    <t>Value of each square foot</t>
  </si>
  <si>
    <t>(A-B)*C</t>
  </si>
  <si>
    <t>Current time spent gathering materials per day</t>
  </si>
  <si>
    <t>Future time spent gathering materials per day</t>
  </si>
  <si>
    <t>Current sales rate</t>
  </si>
  <si>
    <t>Impact Element</t>
  </si>
  <si>
    <t>Value</t>
  </si>
  <si>
    <t>Total</t>
  </si>
  <si>
    <t>Current minutes per set-up</t>
  </si>
  <si>
    <t>Future state minutes per set-up</t>
  </si>
  <si>
    <t>Current turnover rate per year (number per year)</t>
  </si>
  <si>
    <t>New Potential Capacity</t>
  </si>
  <si>
    <t>Value of distance travel reduction</t>
  </si>
  <si>
    <t>A*(B-C)/60*D*E</t>
  </si>
  <si>
    <t>5-S Impact</t>
  </si>
  <si>
    <t>Training Impact</t>
  </si>
  <si>
    <t>Inventory Reduction Impact</t>
  </si>
  <si>
    <t>Transportation and Motion Reduction Impact</t>
  </si>
  <si>
    <t>Set-up Reduction Impact</t>
  </si>
  <si>
    <t>Total Productive Maintenance Impact</t>
  </si>
  <si>
    <t>Employee Turnover Reduction Impact</t>
  </si>
  <si>
    <t>Facility Layout, Floor Space Reduction Impact</t>
  </si>
  <si>
    <t>Quality Improvement Impact</t>
  </si>
  <si>
    <t>Current State Sales</t>
  </si>
  <si>
    <t xml:space="preserve">Future State Sales </t>
  </si>
  <si>
    <t>(C*D)-(A*B)</t>
  </si>
  <si>
    <t>Top Line Growth and Margin Improvement Impact</t>
  </si>
  <si>
    <t>Point of Use Storage (Kanban) Impact</t>
  </si>
  <si>
    <t>New Capacity (additional hours available)</t>
  </si>
  <si>
    <t>Potential new sales (based on additional capacity)</t>
  </si>
  <si>
    <t>Current State Gross Margins</t>
  </si>
  <si>
    <t>Future State Gross Margins</t>
  </si>
  <si>
    <t>Annual interest savings on inventory (@ 10%)</t>
  </si>
  <si>
    <t>Activity</t>
  </si>
  <si>
    <t>Clock time at end of activity</t>
  </si>
  <si>
    <t>Elapse Time</t>
  </si>
  <si>
    <t>Estimated Improved time</t>
  </si>
  <si>
    <t>Int.</t>
  </si>
  <si>
    <t>Ext.</t>
  </si>
  <si>
    <t>Ideas for improvement</t>
  </si>
  <si>
    <t>Notes</t>
  </si>
  <si>
    <t>Cost estimate</t>
  </si>
  <si>
    <t>Date of completion</t>
  </si>
  <si>
    <t>x</t>
  </si>
  <si>
    <t>Unhook suction lines</t>
  </si>
  <si>
    <t>Retrieve forklift</t>
  </si>
  <si>
    <t>Mishu shu mashi</t>
  </si>
  <si>
    <t>water spider</t>
  </si>
  <si>
    <t>Removing mold</t>
  </si>
  <si>
    <t>Store the mold</t>
  </si>
  <si>
    <t>Back without the mold</t>
  </si>
  <si>
    <t>Prepare to change clamps</t>
  </si>
  <si>
    <t>Do we really need to change from 100 to 90</t>
  </si>
  <si>
    <t xml:space="preserve">Retrieve wrenches </t>
  </si>
  <si>
    <t>Shadow board easier to use</t>
  </si>
  <si>
    <t>Loosen nuts on clamp</t>
  </si>
  <si>
    <t>Hard to reach</t>
  </si>
  <si>
    <t>Go inside to loosen</t>
  </si>
  <si>
    <t>Confer with Fernando</t>
  </si>
  <si>
    <t>Another time</t>
  </si>
  <si>
    <t>Unhook air lines</t>
  </si>
  <si>
    <t>Explore quick connect</t>
  </si>
  <si>
    <t>Stands on clamp as stool</t>
  </si>
  <si>
    <t>Bike seat clamp,  speed wrench or 1/4 turn</t>
  </si>
  <si>
    <t>Remove clamp on one side</t>
  </si>
  <si>
    <t>Adjust front and back clamp</t>
  </si>
  <si>
    <t>Install new side clamp</t>
  </si>
  <si>
    <t>asked for help lifting clamp into place</t>
  </si>
  <si>
    <t>Reinstalling the nuts</t>
  </si>
  <si>
    <t>Adjust angle shims on floor</t>
  </si>
  <si>
    <t>Can the shim be on the mold</t>
  </si>
  <si>
    <t>Why are they so short (no weight)</t>
  </si>
  <si>
    <t>Adjust side clamps, hook up airlines</t>
  </si>
  <si>
    <t xml:space="preserve">Raise clamp </t>
  </si>
  <si>
    <t>Retrieve new mold</t>
  </si>
  <si>
    <t>Return forklift</t>
  </si>
  <si>
    <t>Mark center on previous shell</t>
  </si>
  <si>
    <t>Tape lip of previous shell</t>
  </si>
  <si>
    <t>Unknown</t>
  </si>
  <si>
    <t>Mark lights</t>
  </si>
  <si>
    <t>Unknown (left area)</t>
  </si>
  <si>
    <t>Total set-up time</t>
  </si>
  <si>
    <t>Total time</t>
  </si>
  <si>
    <t>Production time</t>
  </si>
  <si>
    <t>Current Condition (Digital Equivalent in minutes)</t>
  </si>
  <si>
    <r>
      <t xml:space="preserve">These yellow highlighted values </t>
    </r>
    <r>
      <rPr>
        <b/>
        <i/>
        <u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 be auto inserted into the main worksheet </t>
    </r>
  </si>
  <si>
    <t>Theoretic Improvement (Digital Equivalent in minutes)</t>
  </si>
  <si>
    <t>Improvement in minutes</t>
  </si>
  <si>
    <t>Percentage Improvement</t>
  </si>
  <si>
    <t>Theoretic Improvement (% of an hour)</t>
  </si>
  <si>
    <t>Potential improvement</t>
  </si>
  <si>
    <t>One hour</t>
  </si>
  <si>
    <t>Percentage of an hour saved</t>
  </si>
  <si>
    <t xml:space="preserve">Minutes saved </t>
  </si>
  <si>
    <t>Current Condition (% of an hour)</t>
  </si>
  <si>
    <t xml:space="preserve">SMED Observation Worksheet </t>
  </si>
  <si>
    <t>Rating Key:  0-2 = RED (unacceptable), 3-4 = Yellow (Progress being made), 5 = Green (Acceptable)</t>
  </si>
  <si>
    <t>Category</t>
  </si>
  <si>
    <t>Item</t>
  </si>
  <si>
    <t>Rating</t>
  </si>
  <si>
    <t>SORT</t>
  </si>
  <si>
    <t>Distinguish between what is needed and not needed</t>
  </si>
  <si>
    <t>Only needed equipment, tools furniture, etc are present</t>
  </si>
  <si>
    <t>Only needed items are on walls, bulletin boards, etc.</t>
  </si>
  <si>
    <t>No items are present in aisle ways, stairways, corners, etc.</t>
  </si>
  <si>
    <t>Only needed inventory, supplies, parts, or materials are present</t>
  </si>
  <si>
    <t>No Safety hazards (water, oil, chemical, machines, etc) exist</t>
  </si>
  <si>
    <t>STRAIGHTEN</t>
  </si>
  <si>
    <t>A place for everything and everything in its place</t>
  </si>
  <si>
    <t>Correct location for items are obvious</t>
  </si>
  <si>
    <t>Items are in their correct places</t>
  </si>
  <si>
    <t>Aisle ways, workplaces, equipment have designated locations</t>
  </si>
  <si>
    <t>It is evident that items are put away immediately after use</t>
  </si>
  <si>
    <t>Height and quantity limits have been designated</t>
  </si>
  <si>
    <t>SHINE</t>
  </si>
  <si>
    <t>Cleaning, and looking for ways to keep clean and organized</t>
  </si>
  <si>
    <t>Floors, walls, stairs, and surfaces are free of dirt, oil, and grease</t>
  </si>
  <si>
    <t>Equipment is kept clean and free of dirt, oil, and grease</t>
  </si>
  <si>
    <t>Cleaning materials are marked and easily accessible</t>
  </si>
  <si>
    <t>Lines, labels, signs, etc. are clean and in good repair</t>
  </si>
  <si>
    <t xml:space="preserve">Other cleaning problems (of any kind) have been addressed </t>
  </si>
  <si>
    <t>STANDARDIZE</t>
  </si>
  <si>
    <t>Maintain and monitor the first three (3) categories</t>
  </si>
  <si>
    <t>Necessary information is visible and meet visual workplace standards</t>
  </si>
  <si>
    <t>All standards are visible</t>
  </si>
  <si>
    <t>Checklists exist for all cleaning tasks with daily Manager review</t>
  </si>
  <si>
    <t>All quantities and limits are easily recognizable</t>
  </si>
  <si>
    <t>All commonly used items are within reach of the operation?</t>
  </si>
  <si>
    <t>SUSTAIN</t>
  </si>
  <si>
    <t>Stick to the rules</t>
  </si>
  <si>
    <t>5S Checklist is current and signed off</t>
  </si>
  <si>
    <t>An opportunity sheet is posted and tasks assigned and dated</t>
  </si>
  <si>
    <t>Personal belongs are stored away from the work area</t>
  </si>
  <si>
    <t>Job aids are available or up to date?</t>
  </si>
  <si>
    <t>Weekly Manager review signed off</t>
  </si>
  <si>
    <t>COMMENTS:</t>
  </si>
  <si>
    <t>Overall rating</t>
  </si>
  <si>
    <t>5-S Audit Worksheet</t>
  </si>
  <si>
    <t>Equipment Availability</t>
  </si>
  <si>
    <t>Units</t>
  </si>
  <si>
    <t>Total Shift Time</t>
  </si>
  <si>
    <t>min</t>
  </si>
  <si>
    <t>Planned Downtime (breaktime)</t>
  </si>
  <si>
    <t>Net Available Time</t>
  </si>
  <si>
    <t>A-B</t>
  </si>
  <si>
    <t>Non-Value Added Time</t>
  </si>
  <si>
    <t>Set-Ups &amp; Adjustments</t>
  </si>
  <si>
    <t>Fault Time</t>
  </si>
  <si>
    <t>Idle In + Idle Out Time</t>
  </si>
  <si>
    <t>Total Downtime</t>
  </si>
  <si>
    <t>D+E+F</t>
  </si>
  <si>
    <t>H</t>
  </si>
  <si>
    <t>Total Uptime</t>
  </si>
  <si>
    <t>C-G</t>
  </si>
  <si>
    <t>I</t>
  </si>
  <si>
    <t>Equipment Availabilty</t>
  </si>
  <si>
    <t>H/C</t>
  </si>
  <si>
    <t>Performance Efficiency</t>
  </si>
  <si>
    <t>J</t>
  </si>
  <si>
    <t>Total Parts Run</t>
  </si>
  <si>
    <t>parts</t>
  </si>
  <si>
    <t>K</t>
  </si>
  <si>
    <t>Average Cycle Time (target)</t>
  </si>
  <si>
    <t>sec/part</t>
  </si>
  <si>
    <t>L</t>
  </si>
  <si>
    <t>(K*J/60)/H</t>
  </si>
  <si>
    <t>Quality Rate</t>
  </si>
  <si>
    <t>M</t>
  </si>
  <si>
    <t>Total Rejects/Defective Parts</t>
  </si>
  <si>
    <t>N</t>
  </si>
  <si>
    <t>(J-M)/J</t>
  </si>
  <si>
    <t>Overall Equipment Effectiveness:</t>
  </si>
  <si>
    <t>I*L*N</t>
  </si>
  <si>
    <t>OEE Calculator (Overall Equipment Effectiveness)</t>
  </si>
  <si>
    <t>Assembly</t>
  </si>
  <si>
    <t>Personal Average</t>
  </si>
  <si>
    <t>Target</t>
  </si>
  <si>
    <t>Totals</t>
  </si>
  <si>
    <t>% of Goal</t>
  </si>
  <si>
    <t>Training Matrix</t>
  </si>
  <si>
    <t>Weldments</t>
  </si>
  <si>
    <t xml:space="preserve">Percentage </t>
  </si>
  <si>
    <t>Per unit</t>
  </si>
  <si>
    <t>Weighted Average</t>
  </si>
  <si>
    <t>Tubing cut, prep, audit</t>
  </si>
  <si>
    <t>Heat Shrink</t>
  </si>
  <si>
    <t>Percentage taking this path</t>
  </si>
  <si>
    <t>Specification</t>
  </si>
  <si>
    <t>Blueprint</t>
  </si>
  <si>
    <t xml:space="preserve">Temperature </t>
  </si>
  <si>
    <t>Inspection method</t>
  </si>
  <si>
    <t>Calipers, visual, flatness granite block, pressure test</t>
  </si>
  <si>
    <t>Calipers, visual</t>
  </si>
  <si>
    <t>Heat Gun</t>
  </si>
  <si>
    <t>Checklist, Visual comparison to sample</t>
  </si>
  <si>
    <t>Inspection frequency</t>
  </si>
  <si>
    <t>First and last parts</t>
  </si>
  <si>
    <t>Defect potential</t>
  </si>
  <si>
    <t>1. wrong size 2. leaks</t>
  </si>
  <si>
    <t>1. Wrong length  2. wrong material type 3. Wrong quantity</t>
  </si>
  <si>
    <t>Wrong heat setting</t>
  </si>
  <si>
    <t>Missing hardware, wrong orientation</t>
  </si>
  <si>
    <t>Potential causes</t>
  </si>
  <si>
    <t xml:space="preserve">1a. Worng cut list (BOM) 1b. Wrong kit picked  2a. Machine set-up      2b. Fixture alignment, </t>
  </si>
  <si>
    <t>1a.  Cut list error  1b. Operator error  2a. BOM error  2b. Vendor error  2c. Material missmarked   3a. Wrong cut list (BOM)  3b. Operator error</t>
  </si>
  <si>
    <t>Improper set-up methods, inattention by operator</t>
  </si>
  <si>
    <t>Operator error</t>
  </si>
  <si>
    <t>Documents in</t>
  </si>
  <si>
    <t>Job traveler print BOM cut list</t>
  </si>
  <si>
    <t>Job traveler</t>
  </si>
  <si>
    <t>Traveler</t>
  </si>
  <si>
    <t>Documents out</t>
  </si>
  <si>
    <t>Weld count log</t>
  </si>
  <si>
    <t>Audit tag, cut log (excel)</t>
  </si>
  <si>
    <t>Mater1al consumption log</t>
  </si>
  <si>
    <t>Packaging consumption log</t>
  </si>
  <si>
    <t>Rolled Throughput Yield &gt;&gt;&gt;&gt;</t>
  </si>
  <si>
    <t>Yield</t>
  </si>
  <si>
    <t>Distance traveled</t>
  </si>
  <si>
    <t>Comments, ideas for improvement</t>
  </si>
  <si>
    <t>There are 3 types of weldments easy medium and hard (DGF)</t>
  </si>
  <si>
    <t>Can tubing cutters be used to eliminate sawing?</t>
  </si>
  <si>
    <t>Cramped space</t>
  </si>
  <si>
    <t>Easy requires 17 minutes to weld 8 minutes to set-up</t>
  </si>
  <si>
    <t>Tube cutters enter data into oracle tracking jobs and time</t>
  </si>
  <si>
    <t>Lots of NVA time spent debagging components</t>
  </si>
  <si>
    <t>Medium requires 47 minutes to weld, 10 minutes to set-up</t>
  </si>
  <si>
    <t>Tube cutters enter time card data into excel</t>
  </si>
  <si>
    <t>Weldments get sent to parts storage (outside cleanroom) and back</t>
  </si>
  <si>
    <t>Hard requires 67 minutes to weld, 10 minutes to set-up</t>
  </si>
  <si>
    <t xml:space="preserve">Saw deburr and staging could be closer to the clean room </t>
  </si>
  <si>
    <t>Shadow boards were not being utilized</t>
  </si>
  <si>
    <t>Orbital welders seem underutilized (not balanced)</t>
  </si>
  <si>
    <t>5% of the saw operators day is interrupted to assist clean room welders</t>
  </si>
  <si>
    <t xml:space="preserve">Bulk screw storage not convenient </t>
  </si>
  <si>
    <t>Space cramped</t>
  </si>
  <si>
    <t>Weldments have too much tape (protecting weld surface)</t>
  </si>
  <si>
    <t>Not all stations have full capability</t>
  </si>
  <si>
    <t>Foot bracket on N-2 stick must be bent (tweeked) each time</t>
  </si>
  <si>
    <t>Foot operated button to cycle start the welder</t>
  </si>
  <si>
    <t>C seal container (fishing tackle box? de-bagging takes lots of time)</t>
  </si>
  <si>
    <t>Explore fixture options (100% tweeking)</t>
  </si>
  <si>
    <t>XDCR set to zero requires too much time, need a new process.</t>
  </si>
  <si>
    <t>Make the red plugs tighter to fit so that no taping is required.</t>
  </si>
  <si>
    <t>When de-bagging valves, labels must be peeled and applied (vendor?)</t>
  </si>
  <si>
    <t>3/10 parts have to go to the machine shop.</t>
  </si>
  <si>
    <t>Electrical routing and flow diagrams were not in the binder</t>
  </si>
  <si>
    <t>Idea: Cut stock parts, maintain kanban of common parts at welding</t>
  </si>
  <si>
    <t>Need a better procedure for stick build (sequence definition)</t>
  </si>
  <si>
    <t>Current weld head does not allow access to small areas</t>
  </si>
  <si>
    <t>More electric torque wrenches (5X)</t>
  </si>
  <si>
    <t>Idea: Micro welding head for reduce prep time (can utilize current welder)</t>
  </si>
  <si>
    <t>Parts presentation to the work station is poor</t>
  </si>
  <si>
    <t>Lots of time spent "Fishing" for the right parts in bins</t>
  </si>
  <si>
    <t>Observation took less time than normal because operators focused.</t>
  </si>
  <si>
    <t>Quality Map Example</t>
  </si>
  <si>
    <t>Root cause analysis of why parts are not square</t>
  </si>
  <si>
    <t>Manually countersink holes (not square)</t>
  </si>
  <si>
    <t>Require vendor to ensure holes are correct size</t>
  </si>
  <si>
    <t xml:space="preserve">Deburr holes </t>
  </si>
  <si>
    <t>Change deburring tool</t>
  </si>
  <si>
    <t>QA hole for next part</t>
  </si>
  <si>
    <t>Scissor lift???</t>
  </si>
  <si>
    <t>Move finished part to pallet</t>
  </si>
  <si>
    <t>Deburr finished part</t>
  </si>
  <si>
    <t>Lift part onto table</t>
  </si>
  <si>
    <t>Have fab shop use parts presentation</t>
  </si>
  <si>
    <t>Flip part</t>
  </si>
  <si>
    <t>Move part out of the way</t>
  </si>
  <si>
    <t>Beginning machining</t>
  </si>
  <si>
    <t>Change inserts</t>
  </si>
  <si>
    <t>Simpler clamping devices</t>
  </si>
  <si>
    <t>Bolt part</t>
  </si>
  <si>
    <t xml:space="preserve">Insert Part </t>
  </si>
  <si>
    <t>Clean Machine</t>
  </si>
  <si>
    <t>Poka-Yoke the holes / Test pin outside of machine</t>
  </si>
  <si>
    <t>Deburr part</t>
  </si>
  <si>
    <t>Obtain a second deburr tool</t>
  </si>
  <si>
    <t>QA check</t>
  </si>
  <si>
    <t>Pre stage the part</t>
  </si>
  <si>
    <t>Remove finished part</t>
  </si>
  <si>
    <t>Ideas for Improvement</t>
  </si>
  <si>
    <t>UNVA</t>
  </si>
  <si>
    <t>NNVA</t>
  </si>
  <si>
    <t>VA</t>
  </si>
  <si>
    <t>Labor</t>
  </si>
  <si>
    <t>Clock</t>
  </si>
  <si>
    <t>Seq.</t>
  </si>
  <si>
    <t>VA - NVA Observation Worksheet</t>
  </si>
  <si>
    <t>Conversation with co-worker</t>
  </si>
  <si>
    <t>Walk to retrieve next part</t>
  </si>
  <si>
    <t>Run part</t>
  </si>
  <si>
    <t xml:space="preserve">Scissor lift adjusted to same height as machine working surface </t>
  </si>
  <si>
    <t>Wait until machine is running</t>
  </si>
  <si>
    <t>Advertising cost per hire</t>
  </si>
  <si>
    <t>Interview cost per hire (HR Wages)</t>
  </si>
  <si>
    <t>Drug testing per hire</t>
  </si>
  <si>
    <t>New employee orientation cost per hire</t>
  </si>
  <si>
    <t>Training cost</t>
  </si>
  <si>
    <t>Lost productivity of trainer</t>
  </si>
  <si>
    <t>Lost productivity of new hire (while in trainee mode)</t>
  </si>
  <si>
    <t>Typical annual cost of quality issues related to new hire</t>
  </si>
  <si>
    <t>Total cost of rehire (assuming person stays 1 year)</t>
  </si>
  <si>
    <t>(B-C) * A</t>
  </si>
  <si>
    <t>Raw material inventory</t>
  </si>
  <si>
    <t>WIP (work in process) inventory</t>
  </si>
  <si>
    <t>FGI (Finished Goods) inventory</t>
  </si>
  <si>
    <t>&lt; keep units the same (months, weeks, days, etc..)</t>
  </si>
  <si>
    <t>Value of turnover reduction</t>
  </si>
  <si>
    <t>Value of facility layout improvements</t>
  </si>
  <si>
    <t>(A*B*C*D*((E-F)/60)*G</t>
  </si>
  <si>
    <t>Amory</t>
  </si>
  <si>
    <t>Rob</t>
  </si>
  <si>
    <t>Norm</t>
  </si>
  <si>
    <t>Paula</t>
  </si>
  <si>
    <t>Point to point</t>
  </si>
  <si>
    <t>Onsurd</t>
  </si>
  <si>
    <t>Northwood 1</t>
  </si>
  <si>
    <t>Northwood 2</t>
  </si>
  <si>
    <t>Mark</t>
  </si>
  <si>
    <t>Shannon</t>
  </si>
  <si>
    <t>Shawn</t>
  </si>
  <si>
    <t>Dillon</t>
  </si>
  <si>
    <t>Impact of TPM improvements</t>
  </si>
  <si>
    <t>Annual Value of 5-S Improvement</t>
  </si>
  <si>
    <t>Impact of improved level of training</t>
  </si>
  <si>
    <t>Impact of POUS improvements</t>
  </si>
  <si>
    <t>New (company-wide) Potential Capacity</t>
  </si>
  <si>
    <t>New (Company-wide) Potential Capacity</t>
  </si>
  <si>
    <t>Material cost as a Percentage of sales</t>
  </si>
  <si>
    <t>Labor Savings</t>
  </si>
  <si>
    <t>Material Savings</t>
  </si>
  <si>
    <t>Total Value of Quality Improvements</t>
  </si>
  <si>
    <t>Number of employees</t>
  </si>
  <si>
    <t>A*B*(D-C)</t>
  </si>
  <si>
    <t>C8 * 10%</t>
  </si>
  <si>
    <t>Future state yield</t>
  </si>
  <si>
    <t>Current yield (minus claims or rework rate)</t>
  </si>
  <si>
    <t>Future state leadtime (in weeks)</t>
  </si>
  <si>
    <t>Current leadtime (through-put time in weeks)</t>
  </si>
  <si>
    <t xml:space="preserve">2017 Budgeted Sales </t>
  </si>
  <si>
    <t>Number of team members per machine per shifts</t>
  </si>
  <si>
    <t>&lt; one time savings</t>
  </si>
  <si>
    <t>(A*(B-C)*D/E/F*G)</t>
  </si>
  <si>
    <t>Gross Annual Value of Improvement</t>
  </si>
  <si>
    <t>Number of set-ups per shift</t>
  </si>
  <si>
    <t>Current unplanned downtime minutes per shift</t>
  </si>
  <si>
    <t>Future state downtime minutes per shift</t>
  </si>
  <si>
    <t>(C-D)/60*A*B*E*F*G</t>
  </si>
  <si>
    <t>(F*G*E*(D-C)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</si>
</sst>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$-409]* #,##0_);_([$$-409]* \(#,##0\);_([$$-409]* &quot;-&quot;??_);_(@_)"/>
    <numFmt numFmtId="167" formatCode="0.0%"/>
    <numFmt numFmtId="168" formatCode="_(&quot;$&quot;* #,##0.0_);_(&quot;$&quot;* \(#,##0.0\);_(&quot;$&quot;* &quot;-&quot;?_);_(@_)"/>
    <numFmt numFmtId="169" formatCode="&quot;$&quot;#,##0.00"/>
    <numFmt numFmtId="170" formatCode="0.0"/>
    <numFmt numFmtId="171" formatCode="[h]:mm:ss;@"/>
    <numFmt numFmtId="172" formatCode="_(&quot;$&quot;* #,##0_);_(&quot;$&quot;* \(#,##0\);_(&quot;$&quot;* &quot;-&quot;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left" indent="1"/>
    </xf>
    <xf numFmtId="9" fontId="0" fillId="0" borderId="1" xfId="0" applyNumberFormat="1" applyBorder="1"/>
    <xf numFmtId="164" fontId="0" fillId="0" borderId="1" xfId="1" applyNumberFormat="1" applyFont="1" applyBorder="1"/>
    <xf numFmtId="43" fontId="0" fillId="0" borderId="1" xfId="2" applyFont="1" applyBorder="1"/>
    <xf numFmtId="43" fontId="0" fillId="0" borderId="0" xfId="2" applyFont="1"/>
    <xf numFmtId="165" fontId="0" fillId="0" borderId="1" xfId="2" applyNumberFormat="1" applyFon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0" xfId="0" applyFill="1" applyBorder="1"/>
    <xf numFmtId="0" fontId="0" fillId="0" borderId="1" xfId="0" applyBorder="1" applyAlignment="1">
      <alignment horizontal="center"/>
    </xf>
    <xf numFmtId="44" fontId="0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0" fillId="0" borderId="0" xfId="2" applyNumberFormat="1" applyFont="1"/>
    <xf numFmtId="166" fontId="0" fillId="0" borderId="3" xfId="0" applyNumberFormat="1" applyBorder="1"/>
    <xf numFmtId="1" fontId="0" fillId="0" borderId="5" xfId="0" applyNumberFormat="1" applyBorder="1"/>
    <xf numFmtId="164" fontId="0" fillId="0" borderId="7" xfId="1" applyNumberFormat="1" applyFont="1" applyBorder="1"/>
    <xf numFmtId="0" fontId="0" fillId="0" borderId="10" xfId="0" applyBorder="1"/>
    <xf numFmtId="164" fontId="0" fillId="0" borderId="0" xfId="0" applyNumberFormat="1"/>
    <xf numFmtId="44" fontId="0" fillId="0" borderId="0" xfId="0" applyNumberFormat="1"/>
    <xf numFmtId="0" fontId="0" fillId="0" borderId="1" xfId="0" applyFill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0" fontId="0" fillId="0" borderId="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21" fontId="0" fillId="0" borderId="14" xfId="0" applyNumberFormat="1" applyFill="1" applyBorder="1" applyAlignment="1">
      <alignment horizontal="center" wrapText="1"/>
    </xf>
    <xf numFmtId="169" fontId="0" fillId="0" borderId="14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21" fontId="0" fillId="0" borderId="1" xfId="0" applyNumberFormat="1" applyFill="1" applyBorder="1" applyAlignment="1">
      <alignment wrapText="1"/>
    </xf>
    <xf numFmtId="21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16" fontId="0" fillId="0" borderId="5" xfId="0" applyNumberFormat="1" applyFill="1" applyBorder="1"/>
    <xf numFmtId="0" fontId="0" fillId="0" borderId="1" xfId="0" applyFill="1" applyBorder="1" applyAlignment="1">
      <alignment horizontal="right"/>
    </xf>
    <xf numFmtId="21" fontId="0" fillId="0" borderId="1" xfId="0" applyNumberFormat="1" applyFill="1" applyBorder="1" applyAlignment="1">
      <alignment horizontal="justify" wrapText="1"/>
    </xf>
    <xf numFmtId="0" fontId="0" fillId="0" borderId="6" xfId="0" applyFill="1" applyBorder="1" applyAlignment="1">
      <alignment horizontal="center"/>
    </xf>
    <xf numFmtId="0" fontId="0" fillId="0" borderId="15" xfId="0" applyFill="1" applyBorder="1"/>
    <xf numFmtId="21" fontId="0" fillId="0" borderId="15" xfId="0" applyNumberFormat="1" applyFill="1" applyBorder="1" applyAlignment="1">
      <alignment wrapText="1"/>
    </xf>
    <xf numFmtId="21" fontId="0" fillId="0" borderId="15" xfId="0" applyNumberFormat="1" applyFill="1" applyBorder="1"/>
    <xf numFmtId="0" fontId="0" fillId="0" borderId="15" xfId="0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ill="1" applyAlignment="1">
      <alignment wrapText="1"/>
    </xf>
    <xf numFmtId="21" fontId="0" fillId="0" borderId="0" xfId="0" applyNumberFormat="1" applyFill="1" applyAlignment="1">
      <alignment horizontal="center" wrapText="1"/>
    </xf>
    <xf numFmtId="0" fontId="0" fillId="0" borderId="0" xfId="0" applyFill="1"/>
    <xf numFmtId="169" fontId="0" fillId="0" borderId="0" xfId="0" applyNumberFormat="1" applyFill="1" applyAlignment="1">
      <alignment horizontal="center"/>
    </xf>
    <xf numFmtId="0" fontId="0" fillId="0" borderId="2" xfId="0" applyFill="1" applyBorder="1"/>
    <xf numFmtId="43" fontId="0" fillId="2" borderId="3" xfId="2" applyFont="1" applyFill="1" applyBorder="1" applyAlignment="1">
      <alignment wrapText="1"/>
    </xf>
    <xf numFmtId="21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4" xfId="0" applyFill="1" applyBorder="1"/>
    <xf numFmtId="170" fontId="0" fillId="2" borderId="5" xfId="0" applyNumberFormat="1" applyFill="1" applyBorder="1" applyAlignment="1">
      <alignment wrapText="1"/>
    </xf>
    <xf numFmtId="21" fontId="0" fillId="0" borderId="0" xfId="0" applyNumberFormat="1" applyFill="1"/>
    <xf numFmtId="9" fontId="0" fillId="0" borderId="5" xfId="3" applyFont="1" applyFill="1" applyBorder="1" applyAlignment="1">
      <alignment wrapText="1"/>
    </xf>
    <xf numFmtId="171" fontId="0" fillId="0" borderId="5" xfId="0" applyNumberFormat="1" applyFill="1" applyBorder="1" applyAlignment="1">
      <alignment horizontal="right"/>
    </xf>
    <xf numFmtId="43" fontId="0" fillId="0" borderId="0" xfId="2" applyFont="1" applyFill="1" applyAlignment="1">
      <alignment wrapText="1"/>
    </xf>
    <xf numFmtId="9" fontId="0" fillId="0" borderId="0" xfId="3" applyFont="1" applyFill="1"/>
    <xf numFmtId="170" fontId="0" fillId="0" borderId="4" xfId="0" applyNumberFormat="1" applyFill="1" applyBorder="1" applyAlignment="1">
      <alignment horizontal="left"/>
    </xf>
    <xf numFmtId="21" fontId="0" fillId="0" borderId="5" xfId="1" applyNumberFormat="1" applyFont="1" applyFill="1" applyBorder="1" applyAlignment="1">
      <alignment wrapText="1"/>
    </xf>
    <xf numFmtId="0" fontId="0" fillId="0" borderId="4" xfId="0" quotePrefix="1" applyFill="1" applyBorder="1"/>
    <xf numFmtId="43" fontId="0" fillId="0" borderId="5" xfId="0" applyNumberFormat="1" applyFill="1" applyBorder="1" applyAlignment="1">
      <alignment horizontal="center"/>
    </xf>
    <xf numFmtId="0" fontId="0" fillId="0" borderId="6" xfId="0" applyFill="1" applyBorder="1"/>
    <xf numFmtId="9" fontId="0" fillId="0" borderId="7" xfId="3" applyFont="1" applyFill="1" applyBorder="1" applyAlignment="1">
      <alignment wrapText="1"/>
    </xf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8" fillId="0" borderId="16" xfId="0" applyFont="1" applyBorder="1"/>
    <xf numFmtId="0" fontId="0" fillId="0" borderId="22" xfId="0" applyBorder="1" applyAlignment="1">
      <alignment horizontal="center"/>
    </xf>
    <xf numFmtId="0" fontId="9" fillId="0" borderId="23" xfId="0" applyFont="1" applyBorder="1"/>
    <xf numFmtId="0" fontId="8" fillId="0" borderId="24" xfId="0" applyFont="1" applyBorder="1"/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3" xfId="0" applyFont="1" applyBorder="1"/>
    <xf numFmtId="0" fontId="0" fillId="0" borderId="37" xfId="0" applyBorder="1"/>
    <xf numFmtId="0" fontId="0" fillId="0" borderId="37" xfId="0" applyBorder="1" applyAlignment="1">
      <alignment horizontal="center"/>
    </xf>
    <xf numFmtId="0" fontId="9" fillId="0" borderId="38" xfId="0" applyFont="1" applyBorder="1"/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0" xfId="0" applyFont="1"/>
    <xf numFmtId="0" fontId="12" fillId="4" borderId="2" xfId="0" applyFont="1" applyFill="1" applyBorder="1"/>
    <xf numFmtId="0" fontId="0" fillId="4" borderId="14" xfId="0" applyFill="1" applyBorder="1"/>
    <xf numFmtId="0" fontId="12" fillId="4" borderId="14" xfId="0" applyFont="1" applyFill="1" applyBorder="1"/>
    <xf numFmtId="0" fontId="0" fillId="4" borderId="3" xfId="0" applyFill="1" applyBorder="1" applyAlignment="1">
      <alignment horizontal="center" vertical="center"/>
    </xf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 applyAlignment="1">
      <alignment horizontal="center" vertical="center"/>
    </xf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 applyAlignment="1">
      <alignment horizontal="center" vertical="center"/>
    </xf>
    <xf numFmtId="0" fontId="12" fillId="4" borderId="4" xfId="0" applyFont="1" applyFill="1" applyBorder="1"/>
    <xf numFmtId="9" fontId="13" fillId="2" borderId="1" xfId="3" applyFont="1" applyFill="1" applyBorder="1"/>
    <xf numFmtId="0" fontId="13" fillId="4" borderId="1" xfId="0" applyFont="1" applyFill="1" applyBorder="1"/>
    <xf numFmtId="9" fontId="13" fillId="4" borderId="1" xfId="3" applyFont="1" applyFill="1" applyBorder="1"/>
    <xf numFmtId="167" fontId="13" fillId="5" borderId="1" xfId="3" applyNumberFormat="1" applyFont="1" applyFill="1" applyBorder="1"/>
    <xf numFmtId="0" fontId="0" fillId="4" borderId="6" xfId="0" applyFill="1" applyBorder="1"/>
    <xf numFmtId="0" fontId="0" fillId="4" borderId="15" xfId="0" applyFill="1" applyBorder="1"/>
    <xf numFmtId="0" fontId="0" fillId="4" borderId="7" xfId="0" applyFill="1" applyBorder="1" applyAlignment="1">
      <alignment horizontal="center" vertical="center"/>
    </xf>
    <xf numFmtId="0" fontId="12" fillId="4" borderId="47" xfId="0" applyFont="1" applyFill="1" applyBorder="1"/>
    <xf numFmtId="0" fontId="0" fillId="4" borderId="48" xfId="0" applyFill="1" applyBorder="1"/>
    <xf numFmtId="9" fontId="13" fillId="6" borderId="48" xfId="3" applyFont="1" applyFill="1" applyBorder="1"/>
    <xf numFmtId="0" fontId="0" fillId="4" borderId="22" xfId="0" applyFill="1" applyBorder="1" applyAlignment="1">
      <alignment horizontal="center" vertical="center"/>
    </xf>
    <xf numFmtId="0" fontId="0" fillId="0" borderId="47" xfId="0" applyBorder="1"/>
    <xf numFmtId="0" fontId="0" fillId="0" borderId="4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9" xfId="0" applyBorder="1"/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90"/>
    </xf>
    <xf numFmtId="0" fontId="0" fillId="0" borderId="51" xfId="0" applyBorder="1"/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0" fontId="0" fillId="7" borderId="3" xfId="0" applyNumberFormat="1" applyFill="1" applyBorder="1" applyAlignment="1">
      <alignment horizontal="center" vertical="center"/>
    </xf>
    <xf numFmtId="0" fontId="0" fillId="0" borderId="45" xfId="0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0" fontId="0" fillId="7" borderId="9" xfId="0" applyNumberFormat="1" applyFill="1" applyBorder="1" applyAlignment="1">
      <alignment horizontal="center" vertical="center"/>
    </xf>
    <xf numFmtId="0" fontId="0" fillId="0" borderId="55" xfId="0" applyBorder="1"/>
    <xf numFmtId="0" fontId="0" fillId="0" borderId="56" xfId="0" applyBorder="1" applyAlignment="1">
      <alignment horizontal="center" vertical="center"/>
    </xf>
    <xf numFmtId="0" fontId="0" fillId="0" borderId="57" xfId="0" applyFill="1" applyBorder="1"/>
    <xf numFmtId="9" fontId="4" fillId="0" borderId="46" xfId="3" applyFont="1" applyBorder="1" applyAlignment="1">
      <alignment horizontal="center"/>
    </xf>
    <xf numFmtId="9" fontId="3" fillId="2" borderId="7" xfId="0" applyNumberFormat="1" applyFont="1" applyFill="1" applyBorder="1"/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170" fontId="16" fillId="0" borderId="1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170" fontId="0" fillId="0" borderId="0" xfId="0" applyNumberFormat="1" applyFill="1"/>
    <xf numFmtId="0" fontId="8" fillId="0" borderId="0" xfId="0" applyFont="1" applyFill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7" fontId="14" fillId="2" borderId="0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Border="1"/>
    <xf numFmtId="21" fontId="0" fillId="0" borderId="19" xfId="0" applyNumberFormat="1" applyBorder="1" applyAlignment="1">
      <alignment horizontal="center"/>
    </xf>
    <xf numFmtId="21" fontId="0" fillId="0" borderId="0" xfId="0" applyNumberFormat="1" applyBorder="1"/>
    <xf numFmtId="1" fontId="0" fillId="0" borderId="0" xfId="0" applyNumberFormat="1" applyBorder="1" applyAlignment="1">
      <alignment horizontal="center"/>
    </xf>
    <xf numFmtId="21" fontId="0" fillId="0" borderId="30" xfId="0" applyNumberFormat="1" applyBorder="1" applyAlignment="1">
      <alignment horizontal="center"/>
    </xf>
    <xf numFmtId="21" fontId="0" fillId="0" borderId="58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1" fontId="0" fillId="0" borderId="0" xfId="0" applyNumberFormat="1"/>
    <xf numFmtId="1" fontId="0" fillId="0" borderId="0" xfId="0" applyNumberFormat="1" applyAlignment="1">
      <alignment horizontal="center"/>
    </xf>
    <xf numFmtId="44" fontId="0" fillId="0" borderId="0" xfId="1" applyFont="1"/>
    <xf numFmtId="9" fontId="0" fillId="0" borderId="0" xfId="3" applyFont="1"/>
    <xf numFmtId="169" fontId="0" fillId="0" borderId="0" xfId="0" applyNumberFormat="1"/>
    <xf numFmtId="167" fontId="0" fillId="3" borderId="59" xfId="0" applyNumberFormat="1" applyFill="1" applyBorder="1" applyAlignment="1">
      <alignment horizontal="center"/>
    </xf>
    <xf numFmtId="0" fontId="0" fillId="0" borderId="7" xfId="0" applyBorder="1"/>
    <xf numFmtId="46" fontId="0" fillId="0" borderId="15" xfId="0" applyNumberFormat="1" applyBorder="1" applyAlignment="1">
      <alignment horizontal="center"/>
    </xf>
    <xf numFmtId="21" fontId="0" fillId="0" borderId="15" xfId="0" applyNumberFormat="1" applyBorder="1"/>
    <xf numFmtId="0" fontId="0" fillId="0" borderId="15" xfId="0" applyBorder="1"/>
    <xf numFmtId="1" fontId="0" fillId="0" borderId="6" xfId="0" applyNumberFormat="1" applyBorder="1" applyAlignment="1">
      <alignment horizontal="center"/>
    </xf>
    <xf numFmtId="0" fontId="0" fillId="0" borderId="5" xfId="0" applyBorder="1"/>
    <xf numFmtId="21" fontId="0" fillId="0" borderId="1" xfId="0" applyNumberFormat="1" applyBorder="1" applyAlignment="1">
      <alignment horizontal="center"/>
    </xf>
    <xf numFmtId="21" fontId="0" fillId="0" borderId="1" xfId="0" applyNumberFormat="1" applyBorder="1"/>
    <xf numFmtId="1" fontId="0" fillId="0" borderId="4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167" fontId="0" fillId="9" borderId="10" xfId="0" applyNumberFormat="1" applyFill="1" applyBorder="1" applyAlignment="1">
      <alignment horizontal="center"/>
    </xf>
    <xf numFmtId="167" fontId="19" fillId="8" borderId="11" xfId="0" applyNumberFormat="1" applyFont="1" applyFill="1" applyBorder="1" applyAlignment="1">
      <alignment horizontal="center"/>
    </xf>
    <xf numFmtId="164" fontId="0" fillId="0" borderId="1" xfId="0" applyNumberFormat="1" applyBorder="1"/>
    <xf numFmtId="44" fontId="0" fillId="0" borderId="15" xfId="1" applyFont="1" applyBorder="1"/>
    <xf numFmtId="0" fontId="3" fillId="0" borderId="5" xfId="0" applyFont="1" applyBorder="1" applyAlignment="1">
      <alignment horizontal="center"/>
    </xf>
    <xf numFmtId="0" fontId="0" fillId="0" borderId="5" xfId="0" applyFont="1" applyBorder="1" applyAlignment="1"/>
    <xf numFmtId="164" fontId="0" fillId="0" borderId="7" xfId="0" applyNumberFormat="1" applyBorder="1" applyAlignment="1">
      <alignment horizontal="left"/>
    </xf>
    <xf numFmtId="164" fontId="0" fillId="0" borderId="14" xfId="1" applyNumberFormat="1" applyFont="1" applyBorder="1"/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5" xfId="0" applyBorder="1" applyAlignment="1">
      <alignment horizontal="left" indent="1"/>
    </xf>
    <xf numFmtId="168" fontId="0" fillId="0" borderId="7" xfId="0" applyNumberFormat="1" applyBorder="1"/>
    <xf numFmtId="172" fontId="0" fillId="0" borderId="15" xfId="0" applyNumberFormat="1" applyBorder="1"/>
    <xf numFmtId="0" fontId="0" fillId="0" borderId="3" xfId="0" applyBorder="1" applyAlignment="1">
      <alignment horizontal="left" indent="1"/>
    </xf>
    <xf numFmtId="164" fontId="0" fillId="0" borderId="15" xfId="1" applyNumberFormat="1" applyFont="1" applyBorder="1"/>
    <xf numFmtId="44" fontId="0" fillId="0" borderId="0" xfId="1" applyFont="1" applyBorder="1"/>
    <xf numFmtId="1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left" indent="1"/>
    </xf>
    <xf numFmtId="9" fontId="0" fillId="0" borderId="1" xfId="3" applyFont="1" applyBorder="1"/>
    <xf numFmtId="164" fontId="0" fillId="0" borderId="5" xfId="0" applyNumberFormat="1" applyFill="1" applyBorder="1"/>
    <xf numFmtId="167" fontId="0" fillId="0" borderId="1" xfId="3" applyNumberFormat="1" applyFont="1" applyBorder="1"/>
    <xf numFmtId="43" fontId="0" fillId="0" borderId="0" xfId="2" applyNumberFormat="1" applyFont="1"/>
    <xf numFmtId="9" fontId="0" fillId="0" borderId="0" xfId="0" applyNumberFormat="1"/>
    <xf numFmtId="168" fontId="0" fillId="0" borderId="0" xfId="0" applyNumberFormat="1"/>
    <xf numFmtId="164" fontId="0" fillId="0" borderId="3" xfId="0" applyNumberFormat="1" applyFill="1" applyBorder="1"/>
    <xf numFmtId="0" fontId="3" fillId="0" borderId="12" xfId="0" applyFont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4" borderId="28" xfId="0" applyFill="1" applyBorder="1" applyAlignment="1"/>
    <xf numFmtId="0" fontId="0" fillId="4" borderId="44" xfId="0" applyFill="1" applyBorder="1" applyAlignment="1"/>
    <xf numFmtId="0" fontId="12" fillId="4" borderId="45" xfId="0" applyFont="1" applyFill="1" applyBorder="1" applyAlignment="1"/>
    <xf numFmtId="0" fontId="0" fillId="4" borderId="29" xfId="0" applyFill="1" applyBorder="1" applyAlignment="1"/>
    <xf numFmtId="0" fontId="0" fillId="4" borderId="34" xfId="0" applyFill="1" applyBorder="1" applyAlignment="1"/>
    <xf numFmtId="0" fontId="0" fillId="4" borderId="46" xfId="0" applyFill="1" applyBorder="1" applyAlignment="1"/>
    <xf numFmtId="0" fontId="3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9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17" xfId="0" applyFont="1" applyBorder="1" applyAlignment="1"/>
    <xf numFmtId="0" fontId="8" fillId="0" borderId="21" xfId="0" applyFont="1" applyBorder="1" applyAlignment="1"/>
    <xf numFmtId="0" fontId="0" fillId="0" borderId="25" xfId="0" applyBorder="1" applyAlignment="1"/>
    <xf numFmtId="0" fontId="0" fillId="0" borderId="12" xfId="0" applyBorder="1" applyAlignment="1"/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0" fillId="0" borderId="34" xfId="0" applyBorder="1" applyAlignment="1"/>
    <xf numFmtId="0" fontId="0" fillId="0" borderId="35" xfId="0" applyBorder="1" applyAlignment="1"/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>
      <selection activeCell="G13" sqref="G13"/>
    </sheetView>
  </sheetViews>
  <sheetFormatPr defaultRowHeight="14.5" x14ac:dyDescent="0.35"/>
  <cols>
    <col min="1" max="1" width="3.90625" customWidth="1"/>
    <col min="2" max="2" width="42.90625" customWidth="1"/>
    <col min="3" max="3" width="13.90625" customWidth="1"/>
  </cols>
  <sheetData>
    <row r="1" spans="2:5" ht="15" thickBot="1" x14ac:dyDescent="0.4"/>
    <row r="2" spans="2:5" ht="16" thickBot="1" x14ac:dyDescent="0.4">
      <c r="B2" s="15" t="s">
        <v>42</v>
      </c>
      <c r="C2" s="16" t="s">
        <v>43</v>
      </c>
    </row>
    <row r="3" spans="2:5" x14ac:dyDescent="0.35">
      <c r="B3" s="55" t="str">
        <f>SMED!B1</f>
        <v>Set-up Reduction Impact</v>
      </c>
      <c r="C3" s="212">
        <f>SMED!C9</f>
        <v>11250</v>
      </c>
    </row>
    <row r="4" spans="2:5" x14ac:dyDescent="0.35">
      <c r="B4" s="60" t="str">
        <f>TPM!B1</f>
        <v>Total Productive Maintenance Impact</v>
      </c>
      <c r="C4" s="207">
        <f>TPM!C9</f>
        <v>3750</v>
      </c>
      <c r="E4" s="210"/>
    </row>
    <row r="5" spans="2:5" x14ac:dyDescent="0.35">
      <c r="B5" s="60" t="str">
        <f>Inventory!B1</f>
        <v>Inventory Reduction Impact</v>
      </c>
      <c r="C5" s="207">
        <f>Inventory!C8+Inventory!C9</f>
        <v>37125</v>
      </c>
      <c r="D5" t="s">
        <v>379</v>
      </c>
    </row>
    <row r="6" spans="2:5" x14ac:dyDescent="0.35">
      <c r="B6" s="60" t="str">
        <f>Quality!B1</f>
        <v>Quality Improvement Impact</v>
      </c>
      <c r="C6" s="207">
        <f>Quality!C11</f>
        <v>51199.999999999935</v>
      </c>
    </row>
    <row r="7" spans="2:5" x14ac:dyDescent="0.35">
      <c r="B7" s="60" t="str">
        <f>'5-S'!B1:D1</f>
        <v>5-S Impact</v>
      </c>
      <c r="C7" s="207">
        <f>'5-S'!C8</f>
        <v>25000</v>
      </c>
    </row>
    <row r="8" spans="2:5" x14ac:dyDescent="0.35">
      <c r="B8" s="60" t="str">
        <f>'Training Level'!B1:D1</f>
        <v>Training Impact</v>
      </c>
      <c r="C8" s="207">
        <f>'Training Level'!C8</f>
        <v>51479.999999999978</v>
      </c>
    </row>
    <row r="9" spans="2:5" x14ac:dyDescent="0.35">
      <c r="B9" s="10" t="str">
        <f>POUS!B1</f>
        <v>Point of Use Storage (Kanban) Impact</v>
      </c>
      <c r="C9" s="25">
        <f>POUS!C7</f>
        <v>12499.999999999998</v>
      </c>
    </row>
    <row r="10" spans="2:5" x14ac:dyDescent="0.35">
      <c r="B10" s="10" t="str">
        <f>Transportation!B1</f>
        <v>Transportation and Motion Reduction Impact</v>
      </c>
      <c r="C10" s="25">
        <f>Transportation!C9</f>
        <v>4261.3636363636369</v>
      </c>
    </row>
    <row r="11" spans="2:5" x14ac:dyDescent="0.35">
      <c r="B11" s="10" t="str">
        <f>Turnover!B1</f>
        <v>Employee Turnover Reduction Impact</v>
      </c>
      <c r="C11" s="25">
        <f>Turnover!C14</f>
        <v>30660</v>
      </c>
    </row>
    <row r="12" spans="2:5" ht="15" thickBot="1" x14ac:dyDescent="0.4">
      <c r="B12" s="11" t="str">
        <f>'Floor Space'!B1:D1</f>
        <v>Facility Layout, Floor Space Reduction Impact</v>
      </c>
      <c r="C12" s="26">
        <f>'Floor Space'!C5</f>
        <v>35000</v>
      </c>
    </row>
    <row r="13" spans="2:5" ht="15" thickBot="1" x14ac:dyDescent="0.4">
      <c r="B13" s="21" t="str">
        <f>'Top Line Growth'!B1:D1</f>
        <v>Top Line Growth and Margin Improvement Impact</v>
      </c>
      <c r="C13" s="27">
        <f>'Top Line Growth'!C6</f>
        <v>50000</v>
      </c>
    </row>
    <row r="14" spans="2:5" ht="15" thickBot="1" x14ac:dyDescent="0.4">
      <c r="B14" s="12" t="s">
        <v>44</v>
      </c>
      <c r="C14" s="27">
        <f>SUM(C3:C13)</f>
        <v>312226.36363636353</v>
      </c>
    </row>
    <row r="15" spans="2:5" ht="15" thickBot="1" x14ac:dyDescent="0.4"/>
    <row r="16" spans="2:5" x14ac:dyDescent="0.35">
      <c r="B16" s="9" t="s">
        <v>377</v>
      </c>
      <c r="C16" s="18">
        <v>1000000</v>
      </c>
    </row>
    <row r="17" spans="2:3" x14ac:dyDescent="0.35">
      <c r="B17" s="10" t="s">
        <v>65</v>
      </c>
      <c r="C17" s="19">
        <f>SMED!C11+TPM!C11+Quality!C13+'Training Level'!C10+POUS!C9+Transportation!C11</f>
        <v>956.47121212121192</v>
      </c>
    </row>
    <row r="18" spans="2:3" ht="15" thickBot="1" x14ac:dyDescent="0.4">
      <c r="B18" s="11" t="s">
        <v>66</v>
      </c>
      <c r="C18" s="20">
        <f>C16/2080*C17</f>
        <v>459841.92890442879</v>
      </c>
    </row>
    <row r="20" spans="2:3" x14ac:dyDescent="0.35">
      <c r="C20" s="23"/>
    </row>
  </sheetData>
  <sortState ref="A3:G16">
    <sortCondition ref="A3:A16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27"/>
  <sheetViews>
    <sheetView workbookViewId="0">
      <selection activeCell="F15" sqref="F15"/>
    </sheetView>
  </sheetViews>
  <sheetFormatPr defaultRowHeight="14.5" x14ac:dyDescent="0.35"/>
  <cols>
    <col min="2" max="2" width="47.54296875" bestFit="1" customWidth="1"/>
    <col min="3" max="3" width="13.1796875" customWidth="1"/>
    <col min="4" max="4" width="16.81640625" bestFit="1" customWidth="1"/>
  </cols>
  <sheetData>
    <row r="1" spans="2:4" ht="21" x14ac:dyDescent="0.5">
      <c r="B1" s="260" t="s">
        <v>57</v>
      </c>
      <c r="C1" s="261"/>
      <c r="D1" s="262"/>
    </row>
    <row r="2" spans="2:4" ht="17" customHeight="1" x14ac:dyDescent="0.5">
      <c r="B2" s="10" t="s">
        <v>331</v>
      </c>
      <c r="C2" s="5">
        <v>35</v>
      </c>
      <c r="D2" s="191"/>
    </row>
    <row r="3" spans="2:4" ht="17" customHeight="1" x14ac:dyDescent="0.5">
      <c r="B3" s="10" t="s">
        <v>332</v>
      </c>
      <c r="C3" s="5">
        <v>50</v>
      </c>
      <c r="D3" s="191"/>
    </row>
    <row r="4" spans="2:4" ht="17" customHeight="1" x14ac:dyDescent="0.5">
      <c r="B4" s="10" t="s">
        <v>333</v>
      </c>
      <c r="C4" s="5">
        <v>50</v>
      </c>
      <c r="D4" s="191"/>
    </row>
    <row r="5" spans="2:4" ht="17" customHeight="1" x14ac:dyDescent="0.5">
      <c r="B5" s="10" t="s">
        <v>334</v>
      </c>
      <c r="C5" s="5">
        <v>75</v>
      </c>
      <c r="D5" s="191"/>
    </row>
    <row r="6" spans="2:4" ht="17" customHeight="1" x14ac:dyDescent="0.5">
      <c r="B6" s="10" t="s">
        <v>335</v>
      </c>
      <c r="C6" s="5">
        <v>125</v>
      </c>
      <c r="D6" s="191"/>
    </row>
    <row r="7" spans="2:4" ht="17" customHeight="1" x14ac:dyDescent="0.5">
      <c r="B7" s="10" t="s">
        <v>336</v>
      </c>
      <c r="C7" s="5">
        <f>C10*2080*0.2</f>
        <v>6240</v>
      </c>
      <c r="D7" s="191"/>
    </row>
    <row r="8" spans="2:4" ht="17" customHeight="1" x14ac:dyDescent="0.5">
      <c r="B8" s="10" t="s">
        <v>337</v>
      </c>
      <c r="C8" s="5">
        <f>C7</f>
        <v>6240</v>
      </c>
      <c r="D8" s="191"/>
    </row>
    <row r="9" spans="2:4" ht="17" customHeight="1" x14ac:dyDescent="0.5">
      <c r="B9" s="10" t="s">
        <v>338</v>
      </c>
      <c r="C9" s="5">
        <v>2500</v>
      </c>
      <c r="D9" s="191"/>
    </row>
    <row r="10" spans="2:4" ht="17" customHeight="1" x14ac:dyDescent="0.35">
      <c r="B10" s="10" t="s">
        <v>1</v>
      </c>
      <c r="C10" s="2">
        <v>15</v>
      </c>
      <c r="D10" s="192"/>
    </row>
    <row r="11" spans="2:4" ht="17" customHeight="1" x14ac:dyDescent="0.35">
      <c r="B11" s="10" t="s">
        <v>339</v>
      </c>
      <c r="C11" s="189">
        <f>SUM(C2:C10)</f>
        <v>15330</v>
      </c>
      <c r="D11" s="192" t="s">
        <v>3</v>
      </c>
    </row>
    <row r="12" spans="2:4" ht="17" customHeight="1" x14ac:dyDescent="0.35">
      <c r="B12" s="10" t="s">
        <v>47</v>
      </c>
      <c r="C12" s="1">
        <v>4</v>
      </c>
      <c r="D12" s="192" t="s">
        <v>4</v>
      </c>
    </row>
    <row r="13" spans="2:4" ht="17" customHeight="1" x14ac:dyDescent="0.35">
      <c r="B13" s="10" t="s">
        <v>33</v>
      </c>
      <c r="C13" s="1">
        <v>2</v>
      </c>
      <c r="D13" s="192" t="s">
        <v>5</v>
      </c>
    </row>
    <row r="14" spans="2:4" ht="17" customHeight="1" thickBot="1" x14ac:dyDescent="0.4">
      <c r="B14" s="11" t="s">
        <v>345</v>
      </c>
      <c r="C14" s="190">
        <f>(C12-C13)*C11</f>
        <v>30660</v>
      </c>
      <c r="D14" s="193" t="s">
        <v>340</v>
      </c>
    </row>
    <row r="27" spans="2:2" ht="23.5" x14ac:dyDescent="0.55000000000000004">
      <c r="B27" s="89"/>
    </row>
  </sheetData>
  <mergeCells count="1">
    <mergeCell ref="B1:D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C12" sqref="C12"/>
    </sheetView>
  </sheetViews>
  <sheetFormatPr defaultRowHeight="14.5" x14ac:dyDescent="0.35"/>
  <cols>
    <col min="2" max="2" width="38.81640625" bestFit="1" customWidth="1"/>
    <col min="3" max="3" width="12.81640625" customWidth="1"/>
    <col min="4" max="4" width="13" bestFit="1" customWidth="1"/>
  </cols>
  <sheetData>
    <row r="1" spans="2:4" ht="21" x14ac:dyDescent="0.5">
      <c r="B1" s="213" t="s">
        <v>58</v>
      </c>
      <c r="C1" s="213"/>
      <c r="D1" s="213"/>
    </row>
    <row r="2" spans="2:4" x14ac:dyDescent="0.35">
      <c r="B2" s="1" t="s">
        <v>35</v>
      </c>
      <c r="C2" s="1">
        <v>30000</v>
      </c>
      <c r="D2" s="3" t="s">
        <v>3</v>
      </c>
    </row>
    <row r="3" spans="2:4" x14ac:dyDescent="0.35">
      <c r="B3" s="1" t="s">
        <v>36</v>
      </c>
      <c r="C3" s="1">
        <v>25000</v>
      </c>
      <c r="D3" s="3" t="s">
        <v>4</v>
      </c>
    </row>
    <row r="4" spans="2:4" x14ac:dyDescent="0.35">
      <c r="B4" s="1" t="s">
        <v>37</v>
      </c>
      <c r="C4" s="2">
        <v>7</v>
      </c>
      <c r="D4" s="3" t="s">
        <v>5</v>
      </c>
    </row>
    <row r="5" spans="2:4" x14ac:dyDescent="0.35">
      <c r="B5" s="1" t="s">
        <v>346</v>
      </c>
      <c r="C5" s="2">
        <f>(C2-C3)*C4</f>
        <v>35000</v>
      </c>
      <c r="D5" s="1" t="s">
        <v>38</v>
      </c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activeCell="C14" sqref="C14"/>
    </sheetView>
  </sheetViews>
  <sheetFormatPr defaultRowHeight="14.5" x14ac:dyDescent="0.35"/>
  <cols>
    <col min="2" max="2" width="46.08984375" customWidth="1"/>
    <col min="3" max="3" width="15.453125" customWidth="1"/>
    <col min="4" max="4" width="12.81640625" customWidth="1"/>
  </cols>
  <sheetData>
    <row r="1" spans="2:4" ht="21.5" thickBot="1" x14ac:dyDescent="0.55000000000000004">
      <c r="B1" s="222" t="s">
        <v>63</v>
      </c>
      <c r="C1" s="222"/>
      <c r="D1" s="222"/>
    </row>
    <row r="2" spans="2:4" x14ac:dyDescent="0.35">
      <c r="B2" s="9" t="s">
        <v>60</v>
      </c>
      <c r="C2" s="194">
        <v>1000000</v>
      </c>
      <c r="D2" s="200" t="s">
        <v>3</v>
      </c>
    </row>
    <row r="3" spans="2:4" x14ac:dyDescent="0.35">
      <c r="B3" s="10" t="s">
        <v>67</v>
      </c>
      <c r="C3" s="206">
        <v>0.2</v>
      </c>
      <c r="D3" s="197" t="s">
        <v>4</v>
      </c>
    </row>
    <row r="4" spans="2:4" x14ac:dyDescent="0.35">
      <c r="B4" s="10" t="s">
        <v>61</v>
      </c>
      <c r="C4" s="5">
        <v>1250000</v>
      </c>
      <c r="D4" s="197" t="s">
        <v>5</v>
      </c>
    </row>
    <row r="5" spans="2:4" x14ac:dyDescent="0.35">
      <c r="B5" s="10" t="s">
        <v>68</v>
      </c>
      <c r="C5" s="206">
        <v>0.2</v>
      </c>
      <c r="D5" s="197" t="s">
        <v>6</v>
      </c>
    </row>
    <row r="6" spans="2:4" ht="15" thickBot="1" x14ac:dyDescent="0.4">
      <c r="B6" s="11" t="s">
        <v>381</v>
      </c>
      <c r="C6" s="201">
        <f>(C4*C5)-(C2*C3)</f>
        <v>50000</v>
      </c>
      <c r="D6" s="173" t="s">
        <v>62</v>
      </c>
    </row>
    <row r="8" spans="2:4" x14ac:dyDescent="0.35">
      <c r="C8" s="17"/>
    </row>
    <row r="10" spans="2:4" x14ac:dyDescent="0.35">
      <c r="C10" s="22"/>
    </row>
    <row r="11" spans="2:4" x14ac:dyDescent="0.35">
      <c r="C11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8"/>
  <sheetViews>
    <sheetView zoomScale="140" zoomScaleNormal="140" workbookViewId="0">
      <selection activeCell="E11" sqref="E11"/>
    </sheetView>
  </sheetViews>
  <sheetFormatPr defaultRowHeight="14.5" x14ac:dyDescent="0.35"/>
  <cols>
    <col min="2" max="2" width="31.1796875" customWidth="1"/>
    <col min="3" max="3" width="12.453125" customWidth="1"/>
    <col min="4" max="4" width="21.81640625" customWidth="1"/>
    <col min="5" max="5" width="11" customWidth="1"/>
    <col min="6" max="6" width="24.6328125" customWidth="1"/>
    <col min="8" max="8" width="20.6328125" customWidth="1"/>
    <col min="9" max="9" width="20.81640625" customWidth="1"/>
    <col min="10" max="10" width="14.90625" customWidth="1"/>
    <col min="11" max="11" width="10.453125" customWidth="1"/>
  </cols>
  <sheetData>
    <row r="1" spans="2:9" ht="21" x14ac:dyDescent="0.5">
      <c r="B1" s="213" t="s">
        <v>55</v>
      </c>
      <c r="C1" s="213"/>
      <c r="D1" s="213"/>
    </row>
    <row r="2" spans="2:9" x14ac:dyDescent="0.35">
      <c r="B2" s="1" t="s">
        <v>0</v>
      </c>
      <c r="C2" s="1">
        <v>2</v>
      </c>
      <c r="D2" s="3" t="s">
        <v>3</v>
      </c>
      <c r="H2" s="158"/>
    </row>
    <row r="3" spans="2:9" x14ac:dyDescent="0.35">
      <c r="B3" s="1" t="s">
        <v>382</v>
      </c>
      <c r="C3" s="1">
        <v>3</v>
      </c>
      <c r="D3" s="3" t="s">
        <v>4</v>
      </c>
      <c r="H3" s="158"/>
      <c r="I3" s="203"/>
    </row>
    <row r="4" spans="2:9" x14ac:dyDescent="0.35">
      <c r="B4" s="1" t="s">
        <v>8</v>
      </c>
      <c r="C4" s="1">
        <v>2</v>
      </c>
      <c r="D4" s="3" t="s">
        <v>5</v>
      </c>
      <c r="I4" s="203"/>
    </row>
    <row r="5" spans="2:9" x14ac:dyDescent="0.35">
      <c r="B5" s="1" t="s">
        <v>7</v>
      </c>
      <c r="C5" s="1">
        <v>250</v>
      </c>
      <c r="D5" s="3" t="s">
        <v>6</v>
      </c>
      <c r="H5" s="158"/>
      <c r="I5" s="203"/>
    </row>
    <row r="6" spans="2:9" x14ac:dyDescent="0.35">
      <c r="B6" s="1" t="s">
        <v>45</v>
      </c>
      <c r="C6" s="1">
        <v>30</v>
      </c>
      <c r="D6" s="3" t="s">
        <v>9</v>
      </c>
      <c r="H6" s="158"/>
      <c r="I6" s="203"/>
    </row>
    <row r="7" spans="2:9" x14ac:dyDescent="0.35">
      <c r="B7" s="1" t="s">
        <v>46</v>
      </c>
      <c r="C7" s="1">
        <v>15</v>
      </c>
      <c r="D7" s="3" t="s">
        <v>10</v>
      </c>
      <c r="H7" s="158"/>
    </row>
    <row r="8" spans="2:9" x14ac:dyDescent="0.35">
      <c r="B8" s="1" t="s">
        <v>1</v>
      </c>
      <c r="C8" s="2">
        <v>15</v>
      </c>
      <c r="D8" s="3" t="s">
        <v>32</v>
      </c>
      <c r="H8" s="202"/>
    </row>
    <row r="9" spans="2:9" x14ac:dyDescent="0.35">
      <c r="B9" s="1" t="s">
        <v>2</v>
      </c>
      <c r="C9" s="2">
        <f>(C6-C7)/60*C2*C3*C4*C5*C8</f>
        <v>11250</v>
      </c>
      <c r="D9" s="13" t="s">
        <v>347</v>
      </c>
      <c r="H9" s="202"/>
    </row>
    <row r="10" spans="2:9" x14ac:dyDescent="0.35">
      <c r="H10" s="158"/>
    </row>
    <row r="11" spans="2:9" x14ac:dyDescent="0.35">
      <c r="B11" t="s">
        <v>48</v>
      </c>
      <c r="C11" s="17">
        <f>((C6-C7)/60)*C3*C4*C5</f>
        <v>375</v>
      </c>
    </row>
    <row r="19" spans="1:11" ht="24" thickBot="1" x14ac:dyDescent="0.6">
      <c r="B19" s="89" t="s">
        <v>132</v>
      </c>
    </row>
    <row r="20" spans="1:11" ht="43.5" x14ac:dyDescent="0.35">
      <c r="A20" s="28"/>
      <c r="B20" s="29" t="s">
        <v>70</v>
      </c>
      <c r="C20" s="30" t="s">
        <v>71</v>
      </c>
      <c r="D20" s="30" t="s">
        <v>72</v>
      </c>
      <c r="E20" s="30" t="s">
        <v>73</v>
      </c>
      <c r="F20" s="29" t="s">
        <v>74</v>
      </c>
      <c r="G20" s="29" t="s">
        <v>75</v>
      </c>
      <c r="H20" s="29" t="s">
        <v>76</v>
      </c>
      <c r="I20" s="29" t="s">
        <v>77</v>
      </c>
      <c r="J20" s="31" t="s">
        <v>78</v>
      </c>
      <c r="K20" s="32" t="s">
        <v>79</v>
      </c>
    </row>
    <row r="21" spans="1:11" x14ac:dyDescent="0.35">
      <c r="A21" s="33">
        <v>1</v>
      </c>
      <c r="B21" s="24"/>
      <c r="C21" s="34">
        <v>1.4583333333333332E-2</v>
      </c>
      <c r="D21" s="34">
        <f>IF(C21="","",C21-0)</f>
        <v>1.4583333333333332E-2</v>
      </c>
      <c r="E21" s="35">
        <f t="shared" ref="E21:E84" si="0">IF(G21="x",0,D21)</f>
        <v>0</v>
      </c>
      <c r="F21" s="36"/>
      <c r="G21" s="36" t="s">
        <v>80</v>
      </c>
      <c r="H21" s="24"/>
      <c r="I21" s="24"/>
      <c r="J21" s="37"/>
      <c r="K21" s="38"/>
    </row>
    <row r="22" spans="1:11" x14ac:dyDescent="0.35">
      <c r="A22" s="33">
        <v>2</v>
      </c>
      <c r="B22" s="24" t="s">
        <v>81</v>
      </c>
      <c r="C22" s="34">
        <v>1.4930555555555556E-2</v>
      </c>
      <c r="D22" s="34">
        <f>IF(C22="","",C22-C21)</f>
        <v>3.4722222222222446E-4</v>
      </c>
      <c r="E22" s="35">
        <f>IF(G22="x",0,D22)</f>
        <v>3.4722222222222446E-4</v>
      </c>
      <c r="F22" s="36" t="s">
        <v>80</v>
      </c>
      <c r="G22" s="36"/>
      <c r="H22" s="24"/>
      <c r="I22" s="24"/>
      <c r="J22" s="37"/>
      <c r="K22" s="38"/>
    </row>
    <row r="23" spans="1:11" x14ac:dyDescent="0.35">
      <c r="A23" s="33">
        <v>3</v>
      </c>
      <c r="B23" s="24" t="s">
        <v>82</v>
      </c>
      <c r="C23" s="34">
        <v>1.5277777777777777E-2</v>
      </c>
      <c r="D23" s="34">
        <f t="shared" ref="D23:D86" si="1">IF(C23="","",C23-C22)</f>
        <v>3.4722222222222099E-4</v>
      </c>
      <c r="E23" s="35">
        <f t="shared" si="0"/>
        <v>0</v>
      </c>
      <c r="F23" s="36"/>
      <c r="G23" s="36" t="s">
        <v>80</v>
      </c>
      <c r="H23" s="24" t="s">
        <v>83</v>
      </c>
      <c r="I23" s="24" t="s">
        <v>84</v>
      </c>
      <c r="J23" s="37"/>
      <c r="K23" s="38"/>
    </row>
    <row r="24" spans="1:11" x14ac:dyDescent="0.35">
      <c r="A24" s="33">
        <v>4</v>
      </c>
      <c r="B24" s="24" t="s">
        <v>85</v>
      </c>
      <c r="C24" s="34">
        <v>1.5625E-2</v>
      </c>
      <c r="D24" s="34">
        <f t="shared" si="1"/>
        <v>3.4722222222222272E-4</v>
      </c>
      <c r="E24" s="35">
        <f>IF(G24="x",0,D24)</f>
        <v>3.4722222222222272E-4</v>
      </c>
      <c r="F24" s="36" t="s">
        <v>80</v>
      </c>
      <c r="G24" s="36"/>
      <c r="H24" s="24"/>
      <c r="I24" s="24"/>
      <c r="J24" s="37"/>
      <c r="K24" s="39"/>
    </row>
    <row r="25" spans="1:11" x14ac:dyDescent="0.35">
      <c r="A25" s="33">
        <v>5</v>
      </c>
      <c r="B25" s="24" t="s">
        <v>86</v>
      </c>
      <c r="C25" s="34">
        <v>1.7303240740740741E-2</v>
      </c>
      <c r="D25" s="34">
        <f t="shared" si="1"/>
        <v>1.6782407407407406E-3</v>
      </c>
      <c r="E25" s="35">
        <f t="shared" si="0"/>
        <v>0</v>
      </c>
      <c r="F25" s="36"/>
      <c r="G25" s="36" t="s">
        <v>80</v>
      </c>
      <c r="H25" s="24" t="s">
        <v>87</v>
      </c>
      <c r="I25" s="24"/>
      <c r="J25" s="37"/>
      <c r="K25" s="38"/>
    </row>
    <row r="26" spans="1:11" x14ac:dyDescent="0.35">
      <c r="A26" s="33">
        <v>6</v>
      </c>
      <c r="B26" s="24" t="s">
        <v>88</v>
      </c>
      <c r="C26" s="34">
        <v>1.7997685185185186E-2</v>
      </c>
      <c r="D26" s="34">
        <f t="shared" si="1"/>
        <v>6.9444444444444545E-4</v>
      </c>
      <c r="E26" s="35">
        <f>IF(G26="x",0,D26)</f>
        <v>0</v>
      </c>
      <c r="F26" s="36"/>
      <c r="G26" s="36" t="s">
        <v>80</v>
      </c>
      <c r="H26" s="24" t="s">
        <v>89</v>
      </c>
      <c r="I26" s="24"/>
      <c r="J26" s="37"/>
      <c r="K26" s="38"/>
    </row>
    <row r="27" spans="1:11" x14ac:dyDescent="0.35">
      <c r="A27" s="33">
        <v>7</v>
      </c>
      <c r="B27" s="24" t="s">
        <v>90</v>
      </c>
      <c r="C27" s="34">
        <v>1.8171296296296297E-2</v>
      </c>
      <c r="D27" s="34">
        <f t="shared" si="1"/>
        <v>1.7361111111111049E-4</v>
      </c>
      <c r="E27" s="35">
        <f t="shared" si="0"/>
        <v>0</v>
      </c>
      <c r="F27" s="36"/>
      <c r="G27" s="36" t="s">
        <v>80</v>
      </c>
      <c r="H27" s="24" t="s">
        <v>91</v>
      </c>
      <c r="I27" s="24"/>
      <c r="J27" s="37"/>
      <c r="K27" s="38"/>
    </row>
    <row r="28" spans="1:11" x14ac:dyDescent="0.35">
      <c r="A28" s="33">
        <v>8</v>
      </c>
      <c r="B28" s="24" t="s">
        <v>92</v>
      </c>
      <c r="C28" s="34">
        <v>1.8402777777777778E-2</v>
      </c>
      <c r="D28" s="34">
        <f t="shared" si="1"/>
        <v>2.3148148148148182E-4</v>
      </c>
      <c r="E28" s="35">
        <f>IF(G28="x",0,D28)</f>
        <v>0</v>
      </c>
      <c r="F28" s="36"/>
      <c r="G28" s="36" t="s">
        <v>80</v>
      </c>
      <c r="H28" s="24" t="s">
        <v>93</v>
      </c>
      <c r="I28" s="24" t="s">
        <v>94</v>
      </c>
      <c r="J28" s="37"/>
      <c r="K28" s="38"/>
    </row>
    <row r="29" spans="1:11" x14ac:dyDescent="0.35">
      <c r="A29" s="33">
        <v>9</v>
      </c>
      <c r="B29" s="24" t="s">
        <v>95</v>
      </c>
      <c r="C29" s="34">
        <v>1.9791666666666666E-2</v>
      </c>
      <c r="D29" s="34">
        <f t="shared" si="1"/>
        <v>1.3888888888888874E-3</v>
      </c>
      <c r="E29" s="35">
        <f t="shared" si="0"/>
        <v>0</v>
      </c>
      <c r="F29" s="36"/>
      <c r="G29" s="36" t="s">
        <v>80</v>
      </c>
      <c r="H29" s="24" t="s">
        <v>96</v>
      </c>
      <c r="I29" s="24"/>
      <c r="J29" s="37"/>
      <c r="K29" s="38"/>
    </row>
    <row r="30" spans="1:11" x14ac:dyDescent="0.35">
      <c r="A30" s="33">
        <v>10</v>
      </c>
      <c r="B30" s="24" t="s">
        <v>97</v>
      </c>
      <c r="C30" s="34">
        <v>2.013888888888889E-2</v>
      </c>
      <c r="D30" s="34">
        <f t="shared" si="1"/>
        <v>3.4722222222222446E-4</v>
      </c>
      <c r="E30" s="35">
        <f>IF(G30="x",0,D30)/2</f>
        <v>1.7361111111111223E-4</v>
      </c>
      <c r="F30" s="36" t="s">
        <v>80</v>
      </c>
      <c r="G30" s="36"/>
      <c r="H30" s="24" t="s">
        <v>98</v>
      </c>
      <c r="I30" s="24"/>
      <c r="J30" s="37"/>
      <c r="K30" s="38"/>
    </row>
    <row r="31" spans="1:11" x14ac:dyDescent="0.35">
      <c r="A31" s="33">
        <v>11</v>
      </c>
      <c r="B31" s="24" t="s">
        <v>92</v>
      </c>
      <c r="C31" s="34">
        <v>2.0659722222222222E-2</v>
      </c>
      <c r="D31" s="34">
        <f t="shared" si="1"/>
        <v>5.2083333333333148E-4</v>
      </c>
      <c r="E31" s="35">
        <f>IF(G31="x",0,D31)/2</f>
        <v>2.6041666666666574E-4</v>
      </c>
      <c r="F31" s="36" t="s">
        <v>80</v>
      </c>
      <c r="G31" s="36"/>
      <c r="H31" s="24" t="s">
        <v>99</v>
      </c>
      <c r="I31" s="24" t="s">
        <v>100</v>
      </c>
      <c r="J31" s="37"/>
      <c r="K31" s="38"/>
    </row>
    <row r="32" spans="1:11" x14ac:dyDescent="0.35">
      <c r="A32" s="33">
        <v>12</v>
      </c>
      <c r="B32" s="24" t="s">
        <v>101</v>
      </c>
      <c r="C32" s="34">
        <v>2.071759259259259E-2</v>
      </c>
      <c r="D32" s="34">
        <f t="shared" si="1"/>
        <v>5.7870370370367852E-5</v>
      </c>
      <c r="E32" s="35">
        <f>IF(G32="x",0,D32)</f>
        <v>5.7870370370367852E-5</v>
      </c>
      <c r="F32" s="36" t="s">
        <v>80</v>
      </c>
      <c r="G32" s="36"/>
      <c r="H32" s="24"/>
      <c r="I32" s="24"/>
      <c r="J32" s="37"/>
      <c r="K32" s="38"/>
    </row>
    <row r="33" spans="1:11" x14ac:dyDescent="0.35">
      <c r="A33" s="33">
        <v>13</v>
      </c>
      <c r="B33" s="24" t="s">
        <v>92</v>
      </c>
      <c r="C33" s="34">
        <v>2.1527777777777781E-2</v>
      </c>
      <c r="D33" s="34">
        <f t="shared" si="1"/>
        <v>8.1018518518519156E-4</v>
      </c>
      <c r="E33" s="35">
        <f>IF(G33="x",0,D33)/2</f>
        <v>4.0509259259259578E-4</v>
      </c>
      <c r="F33" s="36" t="s">
        <v>80</v>
      </c>
      <c r="G33" s="36"/>
      <c r="H33" s="24"/>
      <c r="I33" s="24" t="s">
        <v>100</v>
      </c>
      <c r="J33" s="37"/>
      <c r="K33" s="38"/>
    </row>
    <row r="34" spans="1:11" x14ac:dyDescent="0.35">
      <c r="A34" s="33">
        <v>14</v>
      </c>
      <c r="B34" s="24" t="s">
        <v>101</v>
      </c>
      <c r="C34" s="34">
        <v>2.1689814814814815E-2</v>
      </c>
      <c r="D34" s="34">
        <f t="shared" si="1"/>
        <v>1.6203703703703345E-4</v>
      </c>
      <c r="E34" s="35">
        <f>IF(G34="x",0,D34)</f>
        <v>1.6203703703703345E-4</v>
      </c>
      <c r="F34" s="36" t="s">
        <v>80</v>
      </c>
      <c r="G34" s="36"/>
      <c r="H34" s="24"/>
      <c r="I34" s="24"/>
      <c r="J34" s="37"/>
      <c r="K34" s="38"/>
    </row>
    <row r="35" spans="1:11" x14ac:dyDescent="0.35">
      <c r="A35" s="33">
        <v>15</v>
      </c>
      <c r="B35" s="24" t="s">
        <v>102</v>
      </c>
      <c r="C35" s="34">
        <v>2.210648148148148E-2</v>
      </c>
      <c r="D35" s="34">
        <f t="shared" si="1"/>
        <v>4.1666666666666588E-4</v>
      </c>
      <c r="E35" s="35">
        <f>IF(G35="x",0,D35)/2</f>
        <v>2.0833333333333294E-4</v>
      </c>
      <c r="F35" s="36" t="s">
        <v>80</v>
      </c>
      <c r="G35" s="36"/>
      <c r="H35" s="24"/>
      <c r="I35" s="24" t="s">
        <v>100</v>
      </c>
      <c r="J35" s="37"/>
      <c r="K35" s="38"/>
    </row>
    <row r="36" spans="1:11" x14ac:dyDescent="0.35">
      <c r="A36" s="33">
        <v>16</v>
      </c>
      <c r="B36" s="24" t="s">
        <v>103</v>
      </c>
      <c r="C36" s="34">
        <v>2.2337962962962962E-2</v>
      </c>
      <c r="D36" s="34">
        <f t="shared" si="1"/>
        <v>2.3148148148148182E-4</v>
      </c>
      <c r="E36" s="35">
        <f t="shared" si="0"/>
        <v>2.3148148148148182E-4</v>
      </c>
      <c r="F36" s="36" t="s">
        <v>80</v>
      </c>
      <c r="G36" s="36"/>
      <c r="H36" s="24" t="s">
        <v>104</v>
      </c>
      <c r="I36" s="24"/>
      <c r="J36" s="37"/>
      <c r="K36" s="38"/>
    </row>
    <row r="37" spans="1:11" x14ac:dyDescent="0.35">
      <c r="A37" s="33">
        <v>17</v>
      </c>
      <c r="B37" s="24" t="s">
        <v>103</v>
      </c>
      <c r="C37" s="34">
        <v>2.2511574074074073E-2</v>
      </c>
      <c r="D37" s="34">
        <f t="shared" si="1"/>
        <v>1.7361111111111049E-4</v>
      </c>
      <c r="E37" s="35">
        <f t="shared" si="0"/>
        <v>1.7361111111111049E-4</v>
      </c>
      <c r="F37" s="36" t="s">
        <v>80</v>
      </c>
      <c r="G37" s="36"/>
      <c r="H37" s="24"/>
      <c r="I37" s="24"/>
      <c r="J37" s="37"/>
      <c r="K37" s="38"/>
    </row>
    <row r="38" spans="1:11" x14ac:dyDescent="0.35">
      <c r="A38" s="33">
        <v>18</v>
      </c>
      <c r="B38" s="24" t="s">
        <v>105</v>
      </c>
      <c r="C38" s="34">
        <v>2.314814814814815E-2</v>
      </c>
      <c r="D38" s="34">
        <f t="shared" si="1"/>
        <v>6.3657407407407759E-4</v>
      </c>
      <c r="E38" s="35">
        <f>IF(G38="x",0,D38)/2</f>
        <v>3.182870370370388E-4</v>
      </c>
      <c r="F38" s="36" t="s">
        <v>80</v>
      </c>
      <c r="G38" s="36"/>
      <c r="H38" s="24"/>
      <c r="I38" s="24" t="s">
        <v>100</v>
      </c>
      <c r="J38" s="37"/>
      <c r="K38" s="38"/>
    </row>
    <row r="39" spans="1:11" x14ac:dyDescent="0.35">
      <c r="A39" s="33">
        <v>19</v>
      </c>
      <c r="B39" s="24" t="s">
        <v>106</v>
      </c>
      <c r="C39" s="34">
        <v>2.3495370370370371E-2</v>
      </c>
      <c r="D39" s="34">
        <f t="shared" si="1"/>
        <v>3.4722222222222099E-4</v>
      </c>
      <c r="E39" s="35">
        <f t="shared" si="0"/>
        <v>0</v>
      </c>
      <c r="F39" s="36"/>
      <c r="G39" s="36" t="s">
        <v>80</v>
      </c>
      <c r="H39" s="24" t="s">
        <v>107</v>
      </c>
      <c r="I39" s="24" t="s">
        <v>108</v>
      </c>
      <c r="J39" s="37"/>
      <c r="K39" s="38"/>
    </row>
    <row r="40" spans="1:11" x14ac:dyDescent="0.35">
      <c r="A40" s="33">
        <v>20</v>
      </c>
      <c r="B40" s="24" t="s">
        <v>109</v>
      </c>
      <c r="C40" s="34">
        <v>2.3958333333333331E-2</v>
      </c>
      <c r="D40" s="34">
        <f t="shared" si="1"/>
        <v>4.6296296296296016E-4</v>
      </c>
      <c r="E40" s="35">
        <f t="shared" si="0"/>
        <v>4.6296296296296016E-4</v>
      </c>
      <c r="F40" s="36" t="s">
        <v>80</v>
      </c>
      <c r="G40" s="36"/>
      <c r="H40" s="24"/>
      <c r="I40" s="24"/>
      <c r="J40" s="37"/>
      <c r="K40" s="38"/>
    </row>
    <row r="41" spans="1:11" x14ac:dyDescent="0.35">
      <c r="A41" s="33">
        <v>21</v>
      </c>
      <c r="B41" s="24" t="s">
        <v>110</v>
      </c>
      <c r="C41" s="34">
        <v>2.4189814814814817E-2</v>
      </c>
      <c r="D41" s="34">
        <f t="shared" si="1"/>
        <v>2.3148148148148529E-4</v>
      </c>
      <c r="E41" s="35">
        <f t="shared" si="0"/>
        <v>2.3148148148148529E-4</v>
      </c>
      <c r="F41" s="36" t="s">
        <v>80</v>
      </c>
      <c r="G41" s="36"/>
      <c r="H41" s="24"/>
      <c r="I41" s="24"/>
      <c r="J41" s="37"/>
      <c r="K41" s="38"/>
    </row>
    <row r="42" spans="1:11" x14ac:dyDescent="0.35">
      <c r="A42" s="33">
        <v>22</v>
      </c>
      <c r="B42" s="24" t="s">
        <v>111</v>
      </c>
      <c r="C42" s="34">
        <v>2.5578703703703704E-2</v>
      </c>
      <c r="D42" s="34">
        <f t="shared" si="1"/>
        <v>1.3888888888888874E-3</v>
      </c>
      <c r="E42" s="35">
        <f t="shared" si="0"/>
        <v>0</v>
      </c>
      <c r="F42" s="36"/>
      <c r="G42" s="36" t="s">
        <v>80</v>
      </c>
      <c r="H42" s="24"/>
      <c r="I42" s="24"/>
      <c r="J42" s="37"/>
      <c r="K42" s="38"/>
    </row>
    <row r="43" spans="1:11" x14ac:dyDescent="0.35">
      <c r="A43" s="33">
        <v>23</v>
      </c>
      <c r="B43" s="24" t="s">
        <v>112</v>
      </c>
      <c r="C43" s="34">
        <v>2.5925925925925925E-2</v>
      </c>
      <c r="D43" s="34">
        <f t="shared" si="1"/>
        <v>3.4722222222222099E-4</v>
      </c>
      <c r="E43" s="35">
        <f t="shared" si="0"/>
        <v>0</v>
      </c>
      <c r="F43" s="36"/>
      <c r="G43" s="36" t="s">
        <v>80</v>
      </c>
      <c r="H43" s="24"/>
      <c r="I43" s="24"/>
      <c r="J43" s="37"/>
      <c r="K43" s="38"/>
    </row>
    <row r="44" spans="1:11" x14ac:dyDescent="0.35">
      <c r="A44" s="33">
        <v>24</v>
      </c>
      <c r="B44" s="24" t="s">
        <v>113</v>
      </c>
      <c r="C44" s="34">
        <v>2.6388888888888889E-2</v>
      </c>
      <c r="D44" s="34">
        <f t="shared" si="1"/>
        <v>4.6296296296296363E-4</v>
      </c>
      <c r="E44" s="35">
        <f t="shared" si="0"/>
        <v>0</v>
      </c>
      <c r="F44" s="36"/>
      <c r="G44" s="36" t="s">
        <v>80</v>
      </c>
      <c r="H44" s="24"/>
      <c r="I44" s="24"/>
      <c r="J44" s="37"/>
      <c r="K44" s="38"/>
    </row>
    <row r="45" spans="1:11" x14ac:dyDescent="0.35">
      <c r="A45" s="33">
        <v>25</v>
      </c>
      <c r="B45" s="24" t="s">
        <v>114</v>
      </c>
      <c r="C45" s="34">
        <v>2.6574074074074073E-2</v>
      </c>
      <c r="D45" s="34">
        <f t="shared" si="1"/>
        <v>1.8518518518518406E-4</v>
      </c>
      <c r="E45" s="35">
        <f t="shared" si="0"/>
        <v>0</v>
      </c>
      <c r="F45" s="36"/>
      <c r="G45" s="36" t="s">
        <v>80</v>
      </c>
      <c r="H45" s="24"/>
      <c r="I45" s="24"/>
      <c r="J45" s="37"/>
      <c r="K45" s="38"/>
    </row>
    <row r="46" spans="1:11" x14ac:dyDescent="0.35">
      <c r="A46" s="33">
        <v>26</v>
      </c>
      <c r="B46" s="24" t="s">
        <v>115</v>
      </c>
      <c r="C46" s="34">
        <v>2.7546296296296294E-2</v>
      </c>
      <c r="D46" s="34">
        <f t="shared" si="1"/>
        <v>9.7222222222222154E-4</v>
      </c>
      <c r="E46" s="35">
        <f t="shared" si="0"/>
        <v>0</v>
      </c>
      <c r="F46" s="36"/>
      <c r="G46" s="36" t="s">
        <v>80</v>
      </c>
      <c r="H46" s="24"/>
      <c r="I46" s="24"/>
      <c r="J46" s="37"/>
      <c r="K46" s="38"/>
    </row>
    <row r="47" spans="1:11" x14ac:dyDescent="0.35">
      <c r="A47" s="33">
        <v>27</v>
      </c>
      <c r="B47" s="24" t="s">
        <v>114</v>
      </c>
      <c r="C47" s="34">
        <v>2.7893518518518515E-2</v>
      </c>
      <c r="D47" s="34">
        <f t="shared" si="1"/>
        <v>3.4722222222222099E-4</v>
      </c>
      <c r="E47" s="35">
        <f t="shared" si="0"/>
        <v>0</v>
      </c>
      <c r="F47" s="36"/>
      <c r="G47" s="36" t="s">
        <v>80</v>
      </c>
      <c r="H47" s="24"/>
      <c r="I47" s="24"/>
      <c r="J47" s="37"/>
      <c r="K47" s="38"/>
    </row>
    <row r="48" spans="1:11" x14ac:dyDescent="0.35">
      <c r="A48" s="33">
        <v>28</v>
      </c>
      <c r="B48" s="24" t="s">
        <v>116</v>
      </c>
      <c r="C48" s="34">
        <v>2.8240740740740736E-2</v>
      </c>
      <c r="D48" s="34">
        <f t="shared" si="1"/>
        <v>3.4722222222222099E-4</v>
      </c>
      <c r="E48" s="35">
        <f t="shared" si="0"/>
        <v>0</v>
      </c>
      <c r="F48" s="36"/>
      <c r="G48" s="36" t="s">
        <v>80</v>
      </c>
      <c r="H48" s="24"/>
      <c r="I48" s="24"/>
      <c r="J48" s="37"/>
      <c r="K48" s="38"/>
    </row>
    <row r="49" spans="1:11" x14ac:dyDescent="0.35">
      <c r="A49" s="33">
        <v>29</v>
      </c>
      <c r="B49" s="24" t="s">
        <v>117</v>
      </c>
      <c r="C49" s="34">
        <v>3.172453703703703E-2</v>
      </c>
      <c r="D49" s="34">
        <f t="shared" si="1"/>
        <v>3.4837962962962939E-3</v>
      </c>
      <c r="E49" s="35">
        <f t="shared" si="0"/>
        <v>0</v>
      </c>
      <c r="F49" s="36"/>
      <c r="G49" s="36" t="s">
        <v>80</v>
      </c>
      <c r="H49" s="24"/>
      <c r="I49" s="24"/>
      <c r="J49" s="37"/>
      <c r="K49" s="38"/>
    </row>
    <row r="50" spans="1:11" x14ac:dyDescent="0.35">
      <c r="A50" s="33">
        <v>30</v>
      </c>
      <c r="B50" s="24"/>
      <c r="C50" s="34"/>
      <c r="D50" s="34" t="str">
        <f t="shared" si="1"/>
        <v/>
      </c>
      <c r="E50" s="35" t="str">
        <f t="shared" si="0"/>
        <v/>
      </c>
      <c r="F50" s="36"/>
      <c r="G50" s="36"/>
      <c r="H50" s="24"/>
      <c r="I50" s="24"/>
      <c r="J50" s="37"/>
      <c r="K50" s="38"/>
    </row>
    <row r="51" spans="1:11" hidden="1" x14ac:dyDescent="0.35">
      <c r="A51" s="33">
        <v>31</v>
      </c>
      <c r="B51" s="24"/>
      <c r="C51" s="34"/>
      <c r="D51" s="34" t="str">
        <f t="shared" si="1"/>
        <v/>
      </c>
      <c r="E51" s="35" t="str">
        <f t="shared" si="0"/>
        <v/>
      </c>
      <c r="F51" s="36"/>
      <c r="G51" s="36"/>
      <c r="H51" s="24"/>
      <c r="I51" s="24"/>
      <c r="J51" s="37"/>
      <c r="K51" s="38"/>
    </row>
    <row r="52" spans="1:11" hidden="1" x14ac:dyDescent="0.35">
      <c r="A52" s="33">
        <v>32</v>
      </c>
      <c r="B52" s="24"/>
      <c r="C52" s="34"/>
      <c r="D52" s="34" t="str">
        <f t="shared" si="1"/>
        <v/>
      </c>
      <c r="E52" s="35" t="str">
        <f t="shared" si="0"/>
        <v/>
      </c>
      <c r="F52" s="36"/>
      <c r="G52" s="36"/>
      <c r="H52" s="24"/>
      <c r="I52" s="24"/>
      <c r="J52" s="37"/>
      <c r="K52" s="38"/>
    </row>
    <row r="53" spans="1:11" hidden="1" x14ac:dyDescent="0.35">
      <c r="A53" s="33">
        <v>33</v>
      </c>
      <c r="B53" s="24"/>
      <c r="C53" s="34"/>
      <c r="D53" s="34" t="str">
        <f t="shared" si="1"/>
        <v/>
      </c>
      <c r="E53" s="35" t="str">
        <f t="shared" si="0"/>
        <v/>
      </c>
      <c r="F53" s="36"/>
      <c r="G53" s="36"/>
      <c r="H53" s="24"/>
      <c r="I53" s="24"/>
      <c r="J53" s="37"/>
      <c r="K53" s="38"/>
    </row>
    <row r="54" spans="1:11" hidden="1" x14ac:dyDescent="0.35">
      <c r="A54" s="33">
        <v>34</v>
      </c>
      <c r="B54" s="24"/>
      <c r="C54" s="34"/>
      <c r="D54" s="34" t="str">
        <f t="shared" si="1"/>
        <v/>
      </c>
      <c r="E54" s="35" t="str">
        <f t="shared" si="0"/>
        <v/>
      </c>
      <c r="F54" s="36"/>
      <c r="G54" s="36"/>
      <c r="H54" s="24"/>
      <c r="I54" s="24"/>
      <c r="J54" s="37"/>
      <c r="K54" s="38"/>
    </row>
    <row r="55" spans="1:11" hidden="1" x14ac:dyDescent="0.35">
      <c r="A55" s="33">
        <v>35</v>
      </c>
      <c r="B55" s="24"/>
      <c r="C55" s="34"/>
      <c r="D55" s="34" t="str">
        <f t="shared" si="1"/>
        <v/>
      </c>
      <c r="E55" s="35" t="str">
        <f t="shared" si="0"/>
        <v/>
      </c>
      <c r="F55" s="36"/>
      <c r="G55" s="36"/>
      <c r="H55" s="24"/>
      <c r="I55" s="24"/>
      <c r="J55" s="37"/>
      <c r="K55" s="38"/>
    </row>
    <row r="56" spans="1:11" hidden="1" x14ac:dyDescent="0.35">
      <c r="A56" s="33">
        <v>36</v>
      </c>
      <c r="B56" s="24"/>
      <c r="C56" s="34"/>
      <c r="D56" s="34" t="str">
        <f t="shared" si="1"/>
        <v/>
      </c>
      <c r="E56" s="35" t="str">
        <f t="shared" si="0"/>
        <v/>
      </c>
      <c r="F56" s="36"/>
      <c r="G56" s="36"/>
      <c r="H56" s="24"/>
      <c r="I56" s="24"/>
      <c r="J56" s="37"/>
      <c r="K56" s="38"/>
    </row>
    <row r="57" spans="1:11" hidden="1" x14ac:dyDescent="0.35">
      <c r="A57" s="33">
        <v>37</v>
      </c>
      <c r="B57" s="24"/>
      <c r="C57" s="34"/>
      <c r="D57" s="34" t="str">
        <f t="shared" si="1"/>
        <v/>
      </c>
      <c r="E57" s="35" t="str">
        <f t="shared" si="0"/>
        <v/>
      </c>
      <c r="F57" s="36"/>
      <c r="G57" s="36"/>
      <c r="H57" s="24"/>
      <c r="I57" s="24"/>
      <c r="J57" s="37"/>
      <c r="K57" s="38"/>
    </row>
    <row r="58" spans="1:11" hidden="1" x14ac:dyDescent="0.35">
      <c r="A58" s="33">
        <v>38</v>
      </c>
      <c r="B58" s="24"/>
      <c r="C58" s="34"/>
      <c r="D58" s="34" t="str">
        <f t="shared" si="1"/>
        <v/>
      </c>
      <c r="E58" s="35" t="str">
        <f t="shared" si="0"/>
        <v/>
      </c>
      <c r="F58" s="36"/>
      <c r="G58" s="36"/>
      <c r="H58" s="24"/>
      <c r="I58" s="24"/>
      <c r="J58" s="37"/>
      <c r="K58" s="38"/>
    </row>
    <row r="59" spans="1:11" hidden="1" x14ac:dyDescent="0.35">
      <c r="A59" s="33">
        <v>39</v>
      </c>
      <c r="B59" s="24"/>
      <c r="C59" s="34"/>
      <c r="D59" s="34" t="str">
        <f t="shared" si="1"/>
        <v/>
      </c>
      <c r="E59" s="35" t="str">
        <f t="shared" si="0"/>
        <v/>
      </c>
      <c r="F59" s="36"/>
      <c r="G59" s="36"/>
      <c r="H59" s="24"/>
      <c r="I59" s="24"/>
      <c r="J59" s="37"/>
      <c r="K59" s="38"/>
    </row>
    <row r="60" spans="1:11" hidden="1" x14ac:dyDescent="0.35">
      <c r="A60" s="33">
        <v>40</v>
      </c>
      <c r="B60" s="24"/>
      <c r="C60" s="34"/>
      <c r="D60" s="34" t="str">
        <f t="shared" si="1"/>
        <v/>
      </c>
      <c r="E60" s="35" t="str">
        <f t="shared" si="0"/>
        <v/>
      </c>
      <c r="F60" s="36"/>
      <c r="G60" s="36"/>
      <c r="H60" s="24"/>
      <c r="I60" s="24"/>
      <c r="J60" s="37"/>
      <c r="K60" s="38"/>
    </row>
    <row r="61" spans="1:11" hidden="1" x14ac:dyDescent="0.35">
      <c r="A61" s="33">
        <v>41</v>
      </c>
      <c r="B61" s="24"/>
      <c r="C61" s="34"/>
      <c r="D61" s="34" t="str">
        <f t="shared" si="1"/>
        <v/>
      </c>
      <c r="E61" s="35" t="str">
        <f t="shared" si="0"/>
        <v/>
      </c>
      <c r="F61" s="36"/>
      <c r="G61" s="36"/>
      <c r="H61" s="24"/>
      <c r="I61" s="24"/>
      <c r="J61" s="37"/>
      <c r="K61" s="38"/>
    </row>
    <row r="62" spans="1:11" hidden="1" x14ac:dyDescent="0.35">
      <c r="A62" s="33">
        <v>42</v>
      </c>
      <c r="B62" s="24"/>
      <c r="C62" s="34"/>
      <c r="D62" s="34" t="str">
        <f t="shared" si="1"/>
        <v/>
      </c>
      <c r="E62" s="35" t="str">
        <f t="shared" si="0"/>
        <v/>
      </c>
      <c r="F62" s="36"/>
      <c r="G62" s="36"/>
      <c r="H62" s="24"/>
      <c r="I62" s="24"/>
      <c r="J62" s="37"/>
      <c r="K62" s="38"/>
    </row>
    <row r="63" spans="1:11" hidden="1" x14ac:dyDescent="0.35">
      <c r="A63" s="33">
        <v>43</v>
      </c>
      <c r="B63" s="24"/>
      <c r="C63" s="34"/>
      <c r="D63" s="34" t="str">
        <f t="shared" si="1"/>
        <v/>
      </c>
      <c r="E63" s="35" t="str">
        <f t="shared" si="0"/>
        <v/>
      </c>
      <c r="F63" s="36"/>
      <c r="G63" s="36"/>
      <c r="H63" s="24"/>
      <c r="I63" s="24"/>
      <c r="J63" s="37"/>
      <c r="K63" s="38"/>
    </row>
    <row r="64" spans="1:11" hidden="1" x14ac:dyDescent="0.35">
      <c r="A64" s="33">
        <v>44</v>
      </c>
      <c r="B64" s="24"/>
      <c r="C64" s="34"/>
      <c r="D64" s="34" t="str">
        <f t="shared" si="1"/>
        <v/>
      </c>
      <c r="E64" s="35" t="str">
        <f t="shared" si="0"/>
        <v/>
      </c>
      <c r="F64" s="36"/>
      <c r="G64" s="36"/>
      <c r="H64" s="24"/>
      <c r="I64" s="24"/>
      <c r="J64" s="37"/>
      <c r="K64" s="38"/>
    </row>
    <row r="65" spans="1:11" hidden="1" x14ac:dyDescent="0.35">
      <c r="A65" s="33">
        <v>45</v>
      </c>
      <c r="B65" s="24"/>
      <c r="C65" s="34"/>
      <c r="D65" s="34" t="str">
        <f t="shared" si="1"/>
        <v/>
      </c>
      <c r="E65" s="35" t="str">
        <f t="shared" si="0"/>
        <v/>
      </c>
      <c r="F65" s="36"/>
      <c r="G65" s="36"/>
      <c r="H65" s="24"/>
      <c r="I65" s="24"/>
      <c r="J65" s="37"/>
      <c r="K65" s="38"/>
    </row>
    <row r="66" spans="1:11" hidden="1" x14ac:dyDescent="0.35">
      <c r="A66" s="33">
        <v>46</v>
      </c>
      <c r="B66" s="24"/>
      <c r="C66" s="34"/>
      <c r="D66" s="34" t="str">
        <f t="shared" si="1"/>
        <v/>
      </c>
      <c r="E66" s="35" t="str">
        <f t="shared" si="0"/>
        <v/>
      </c>
      <c r="F66" s="36"/>
      <c r="G66" s="36"/>
      <c r="H66" s="24"/>
      <c r="I66" s="24"/>
      <c r="J66" s="37"/>
      <c r="K66" s="38"/>
    </row>
    <row r="67" spans="1:11" hidden="1" x14ac:dyDescent="0.35">
      <c r="A67" s="33">
        <v>47</v>
      </c>
      <c r="B67" s="24"/>
      <c r="C67" s="34"/>
      <c r="D67" s="34" t="str">
        <f t="shared" si="1"/>
        <v/>
      </c>
      <c r="E67" s="35" t="str">
        <f t="shared" si="0"/>
        <v/>
      </c>
      <c r="F67" s="36"/>
      <c r="G67" s="36"/>
      <c r="H67" s="24"/>
      <c r="I67" s="24"/>
      <c r="J67" s="37"/>
      <c r="K67" s="38"/>
    </row>
    <row r="68" spans="1:11" hidden="1" x14ac:dyDescent="0.35">
      <c r="A68" s="33">
        <v>48</v>
      </c>
      <c r="B68" s="24"/>
      <c r="C68" s="34"/>
      <c r="D68" s="34" t="str">
        <f t="shared" si="1"/>
        <v/>
      </c>
      <c r="E68" s="35" t="str">
        <f t="shared" si="0"/>
        <v/>
      </c>
      <c r="F68" s="36"/>
      <c r="G68" s="36"/>
      <c r="H68" s="24"/>
      <c r="I68" s="24"/>
      <c r="J68" s="37"/>
      <c r="K68" s="38"/>
    </row>
    <row r="69" spans="1:11" hidden="1" x14ac:dyDescent="0.35">
      <c r="A69" s="33">
        <v>49</v>
      </c>
      <c r="B69" s="24"/>
      <c r="C69" s="34"/>
      <c r="D69" s="34" t="str">
        <f t="shared" si="1"/>
        <v/>
      </c>
      <c r="E69" s="35" t="str">
        <f t="shared" si="0"/>
        <v/>
      </c>
      <c r="F69" s="36"/>
      <c r="G69" s="36"/>
      <c r="H69" s="24"/>
      <c r="I69" s="24"/>
      <c r="J69" s="37"/>
      <c r="K69" s="38"/>
    </row>
    <row r="70" spans="1:11" hidden="1" x14ac:dyDescent="0.35">
      <c r="A70" s="33">
        <v>50</v>
      </c>
      <c r="B70" s="24"/>
      <c r="C70" s="34"/>
      <c r="D70" s="34" t="str">
        <f t="shared" si="1"/>
        <v/>
      </c>
      <c r="E70" s="35" t="str">
        <f t="shared" si="0"/>
        <v/>
      </c>
      <c r="F70" s="36"/>
      <c r="G70" s="36"/>
      <c r="H70" s="24"/>
      <c r="I70" s="24"/>
      <c r="J70" s="37"/>
      <c r="K70" s="38"/>
    </row>
    <row r="71" spans="1:11" hidden="1" x14ac:dyDescent="0.35">
      <c r="A71" s="33">
        <v>51</v>
      </c>
      <c r="B71" s="24"/>
      <c r="C71" s="34"/>
      <c r="D71" s="34" t="str">
        <f t="shared" si="1"/>
        <v/>
      </c>
      <c r="E71" s="35" t="str">
        <f t="shared" si="0"/>
        <v/>
      </c>
      <c r="F71" s="36"/>
      <c r="G71" s="36"/>
      <c r="H71" s="24"/>
      <c r="I71" s="24"/>
      <c r="J71" s="37"/>
      <c r="K71" s="38"/>
    </row>
    <row r="72" spans="1:11" hidden="1" x14ac:dyDescent="0.35">
      <c r="A72" s="33">
        <v>52</v>
      </c>
      <c r="B72" s="24"/>
      <c r="C72" s="34"/>
      <c r="D72" s="34" t="str">
        <f t="shared" si="1"/>
        <v/>
      </c>
      <c r="E72" s="35" t="str">
        <f t="shared" si="0"/>
        <v/>
      </c>
      <c r="F72" s="36"/>
      <c r="G72" s="36"/>
      <c r="H72" s="24"/>
      <c r="I72" s="24"/>
      <c r="J72" s="37"/>
      <c r="K72" s="38"/>
    </row>
    <row r="73" spans="1:11" hidden="1" x14ac:dyDescent="0.35">
      <c r="A73" s="33">
        <v>53</v>
      </c>
      <c r="B73" s="24"/>
      <c r="C73" s="34"/>
      <c r="D73" s="34" t="str">
        <f t="shared" si="1"/>
        <v/>
      </c>
      <c r="E73" s="35" t="str">
        <f t="shared" si="0"/>
        <v/>
      </c>
      <c r="F73" s="36"/>
      <c r="G73" s="36"/>
      <c r="H73" s="24"/>
      <c r="I73" s="24"/>
      <c r="J73" s="37"/>
      <c r="K73" s="38"/>
    </row>
    <row r="74" spans="1:11" hidden="1" x14ac:dyDescent="0.35">
      <c r="A74" s="33">
        <v>54</v>
      </c>
      <c r="B74" s="24"/>
      <c r="C74" s="34"/>
      <c r="D74" s="34" t="str">
        <f t="shared" si="1"/>
        <v/>
      </c>
      <c r="E74" s="35" t="str">
        <f t="shared" si="0"/>
        <v/>
      </c>
      <c r="F74" s="36"/>
      <c r="G74" s="36"/>
      <c r="H74" s="24"/>
      <c r="I74" s="24"/>
      <c r="J74" s="37"/>
      <c r="K74" s="38"/>
    </row>
    <row r="75" spans="1:11" hidden="1" x14ac:dyDescent="0.35">
      <c r="A75" s="33">
        <v>55</v>
      </c>
      <c r="B75" s="24"/>
      <c r="C75" s="34"/>
      <c r="D75" s="34" t="str">
        <f t="shared" si="1"/>
        <v/>
      </c>
      <c r="E75" s="35" t="str">
        <f t="shared" si="0"/>
        <v/>
      </c>
      <c r="F75" s="36"/>
      <c r="G75" s="36"/>
      <c r="H75" s="24"/>
      <c r="I75" s="24"/>
      <c r="J75" s="37"/>
      <c r="K75" s="38"/>
    </row>
    <row r="76" spans="1:11" hidden="1" x14ac:dyDescent="0.35">
      <c r="A76" s="33">
        <v>56</v>
      </c>
      <c r="B76" s="24"/>
      <c r="C76" s="34"/>
      <c r="D76" s="34" t="str">
        <f t="shared" si="1"/>
        <v/>
      </c>
      <c r="E76" s="35" t="str">
        <f t="shared" si="0"/>
        <v/>
      </c>
      <c r="F76" s="36"/>
      <c r="G76" s="36"/>
      <c r="H76" s="24"/>
      <c r="I76" s="24"/>
      <c r="J76" s="37"/>
      <c r="K76" s="38"/>
    </row>
    <row r="77" spans="1:11" hidden="1" x14ac:dyDescent="0.35">
      <c r="A77" s="33">
        <v>57</v>
      </c>
      <c r="B77" s="24"/>
      <c r="C77" s="34"/>
      <c r="D77" s="34" t="str">
        <f t="shared" si="1"/>
        <v/>
      </c>
      <c r="E77" s="35" t="str">
        <f t="shared" si="0"/>
        <v/>
      </c>
      <c r="F77" s="36"/>
      <c r="G77" s="36"/>
      <c r="H77" s="24"/>
      <c r="I77" s="40"/>
      <c r="J77" s="37"/>
      <c r="K77" s="38"/>
    </row>
    <row r="78" spans="1:11" hidden="1" x14ac:dyDescent="0.35">
      <c r="A78" s="33">
        <v>58</v>
      </c>
      <c r="B78" s="24"/>
      <c r="C78" s="34"/>
      <c r="D78" s="34" t="str">
        <f t="shared" si="1"/>
        <v/>
      </c>
      <c r="E78" s="35" t="str">
        <f t="shared" si="0"/>
        <v/>
      </c>
      <c r="F78" s="36"/>
      <c r="G78" s="36"/>
      <c r="H78" s="24"/>
      <c r="I78" s="24"/>
      <c r="J78" s="37"/>
      <c r="K78" s="38"/>
    </row>
    <row r="79" spans="1:11" hidden="1" x14ac:dyDescent="0.35">
      <c r="A79" s="33">
        <v>59</v>
      </c>
      <c r="B79" s="24"/>
      <c r="C79" s="34"/>
      <c r="D79" s="34" t="str">
        <f t="shared" si="1"/>
        <v/>
      </c>
      <c r="E79" s="35" t="str">
        <f t="shared" si="0"/>
        <v/>
      </c>
      <c r="F79" s="36"/>
      <c r="G79" s="36"/>
      <c r="H79" s="24"/>
      <c r="I79" s="24"/>
      <c r="J79" s="37"/>
      <c r="K79" s="38"/>
    </row>
    <row r="80" spans="1:11" hidden="1" x14ac:dyDescent="0.35">
      <c r="A80" s="33">
        <v>60</v>
      </c>
      <c r="B80" s="24"/>
      <c r="C80" s="34"/>
      <c r="D80" s="34" t="str">
        <f t="shared" si="1"/>
        <v/>
      </c>
      <c r="E80" s="35" t="str">
        <f t="shared" si="0"/>
        <v/>
      </c>
      <c r="F80" s="36"/>
      <c r="G80" s="36"/>
      <c r="H80" s="24"/>
      <c r="I80" s="24"/>
      <c r="J80" s="37"/>
      <c r="K80" s="38"/>
    </row>
    <row r="81" spans="1:11" hidden="1" x14ac:dyDescent="0.35">
      <c r="A81" s="33">
        <v>61</v>
      </c>
      <c r="B81" s="24"/>
      <c r="C81" s="34"/>
      <c r="D81" s="34" t="str">
        <f t="shared" si="1"/>
        <v/>
      </c>
      <c r="E81" s="35" t="str">
        <f t="shared" si="0"/>
        <v/>
      </c>
      <c r="F81" s="36"/>
      <c r="G81" s="36"/>
      <c r="H81" s="24"/>
      <c r="I81" s="24"/>
      <c r="J81" s="37"/>
      <c r="K81" s="38"/>
    </row>
    <row r="82" spans="1:11" hidden="1" x14ac:dyDescent="0.35">
      <c r="A82" s="33">
        <v>62</v>
      </c>
      <c r="B82" s="24"/>
      <c r="C82" s="34"/>
      <c r="D82" s="34" t="str">
        <f t="shared" si="1"/>
        <v/>
      </c>
      <c r="E82" s="35" t="str">
        <f t="shared" si="0"/>
        <v/>
      </c>
      <c r="F82" s="36"/>
      <c r="G82" s="36"/>
      <c r="H82" s="24"/>
      <c r="I82" s="24"/>
      <c r="J82" s="37"/>
      <c r="K82" s="38"/>
    </row>
    <row r="83" spans="1:11" hidden="1" x14ac:dyDescent="0.35">
      <c r="A83" s="33">
        <v>63</v>
      </c>
      <c r="B83" s="24"/>
      <c r="C83" s="34"/>
      <c r="D83" s="34" t="str">
        <f t="shared" si="1"/>
        <v/>
      </c>
      <c r="E83" s="35" t="str">
        <f t="shared" si="0"/>
        <v/>
      </c>
      <c r="F83" s="36"/>
      <c r="G83" s="36"/>
      <c r="H83" s="24"/>
      <c r="I83" s="24"/>
      <c r="J83" s="37"/>
      <c r="K83" s="38"/>
    </row>
    <row r="84" spans="1:11" hidden="1" x14ac:dyDescent="0.35">
      <c r="A84" s="33">
        <v>64</v>
      </c>
      <c r="B84" s="24"/>
      <c r="C84" s="34"/>
      <c r="D84" s="34" t="str">
        <f t="shared" si="1"/>
        <v/>
      </c>
      <c r="E84" s="35" t="str">
        <f t="shared" si="0"/>
        <v/>
      </c>
      <c r="F84" s="36"/>
      <c r="G84" s="36"/>
      <c r="H84" s="24"/>
      <c r="I84" s="24"/>
      <c r="J84" s="37"/>
      <c r="K84" s="38"/>
    </row>
    <row r="85" spans="1:11" hidden="1" x14ac:dyDescent="0.35">
      <c r="A85" s="33">
        <v>65</v>
      </c>
      <c r="B85" s="24"/>
      <c r="C85" s="34"/>
      <c r="D85" s="34" t="str">
        <f t="shared" si="1"/>
        <v/>
      </c>
      <c r="E85" s="35" t="str">
        <f t="shared" ref="E85:E122" si="2">IF(G85="x",0,D85)</f>
        <v/>
      </c>
      <c r="F85" s="36"/>
      <c r="G85" s="36"/>
      <c r="H85" s="24"/>
      <c r="I85" s="24"/>
      <c r="J85" s="37"/>
      <c r="K85" s="38"/>
    </row>
    <row r="86" spans="1:11" hidden="1" x14ac:dyDescent="0.35">
      <c r="A86" s="33">
        <v>66</v>
      </c>
      <c r="B86" s="24"/>
      <c r="C86" s="34"/>
      <c r="D86" s="34" t="str">
        <f t="shared" si="1"/>
        <v/>
      </c>
      <c r="E86" s="35" t="str">
        <f t="shared" si="2"/>
        <v/>
      </c>
      <c r="F86" s="36"/>
      <c r="G86" s="36"/>
      <c r="H86" s="24"/>
      <c r="I86" s="24"/>
      <c r="J86" s="37"/>
      <c r="K86" s="38"/>
    </row>
    <row r="87" spans="1:11" hidden="1" x14ac:dyDescent="0.35">
      <c r="A87" s="33">
        <v>67</v>
      </c>
      <c r="B87" s="24"/>
      <c r="C87" s="34"/>
      <c r="D87" s="34" t="str">
        <f t="shared" ref="D87:D124" si="3">IF(C87="","",C87-C86)</f>
        <v/>
      </c>
      <c r="E87" s="35" t="str">
        <f t="shared" si="2"/>
        <v/>
      </c>
      <c r="F87" s="36"/>
      <c r="G87" s="36"/>
      <c r="H87" s="24"/>
      <c r="I87" s="24"/>
      <c r="J87" s="37"/>
      <c r="K87" s="38"/>
    </row>
    <row r="88" spans="1:11" hidden="1" x14ac:dyDescent="0.35">
      <c r="A88" s="33">
        <v>68</v>
      </c>
      <c r="B88" s="24"/>
      <c r="C88" s="34"/>
      <c r="D88" s="34" t="str">
        <f t="shared" si="3"/>
        <v/>
      </c>
      <c r="E88" s="35" t="str">
        <f t="shared" si="2"/>
        <v/>
      </c>
      <c r="F88" s="36"/>
      <c r="G88" s="36"/>
      <c r="H88" s="24"/>
      <c r="I88" s="24"/>
      <c r="J88" s="37"/>
      <c r="K88" s="38"/>
    </row>
    <row r="89" spans="1:11" hidden="1" x14ac:dyDescent="0.35">
      <c r="A89" s="33">
        <v>69</v>
      </c>
      <c r="B89" s="24"/>
      <c r="C89" s="34"/>
      <c r="D89" s="34" t="str">
        <f t="shared" si="3"/>
        <v/>
      </c>
      <c r="E89" s="35" t="str">
        <f t="shared" si="2"/>
        <v/>
      </c>
      <c r="F89" s="36"/>
      <c r="G89" s="36"/>
      <c r="H89" s="24"/>
      <c r="I89" s="24"/>
      <c r="J89" s="37"/>
      <c r="K89" s="38"/>
    </row>
    <row r="90" spans="1:11" hidden="1" x14ac:dyDescent="0.35">
      <c r="A90" s="33">
        <v>70</v>
      </c>
      <c r="B90" s="24"/>
      <c r="C90" s="34"/>
      <c r="D90" s="34" t="str">
        <f t="shared" si="3"/>
        <v/>
      </c>
      <c r="E90" s="35" t="str">
        <f t="shared" si="2"/>
        <v/>
      </c>
      <c r="F90" s="36"/>
      <c r="G90" s="36"/>
      <c r="H90" s="24"/>
      <c r="I90" s="24"/>
      <c r="J90" s="37"/>
      <c r="K90" s="38"/>
    </row>
    <row r="91" spans="1:11" hidden="1" x14ac:dyDescent="0.35">
      <c r="A91" s="33">
        <v>71</v>
      </c>
      <c r="B91" s="24"/>
      <c r="C91" s="34"/>
      <c r="D91" s="34" t="str">
        <f t="shared" si="3"/>
        <v/>
      </c>
      <c r="E91" s="35" t="str">
        <f t="shared" si="2"/>
        <v/>
      </c>
      <c r="F91" s="36"/>
      <c r="G91" s="36"/>
      <c r="H91" s="24"/>
      <c r="I91" s="24"/>
      <c r="J91" s="37"/>
      <c r="K91" s="38"/>
    </row>
    <row r="92" spans="1:11" hidden="1" x14ac:dyDescent="0.35">
      <c r="A92" s="33">
        <v>72</v>
      </c>
      <c r="B92" s="24"/>
      <c r="C92" s="34"/>
      <c r="D92" s="34" t="str">
        <f t="shared" si="3"/>
        <v/>
      </c>
      <c r="E92" s="35" t="str">
        <f t="shared" si="2"/>
        <v/>
      </c>
      <c r="F92" s="36"/>
      <c r="G92" s="36"/>
      <c r="H92" s="24"/>
      <c r="I92" s="24"/>
      <c r="J92" s="37"/>
      <c r="K92" s="38"/>
    </row>
    <row r="93" spans="1:11" hidden="1" x14ac:dyDescent="0.35">
      <c r="A93" s="33">
        <v>73</v>
      </c>
      <c r="B93" s="24"/>
      <c r="C93" s="34"/>
      <c r="D93" s="34" t="str">
        <f t="shared" si="3"/>
        <v/>
      </c>
      <c r="E93" s="35" t="str">
        <f t="shared" si="2"/>
        <v/>
      </c>
      <c r="F93" s="36"/>
      <c r="G93" s="36"/>
      <c r="H93" s="24"/>
      <c r="I93" s="24"/>
      <c r="J93" s="37"/>
      <c r="K93" s="38"/>
    </row>
    <row r="94" spans="1:11" hidden="1" x14ac:dyDescent="0.35">
      <c r="A94" s="33">
        <v>74</v>
      </c>
      <c r="B94" s="24"/>
      <c r="C94" s="34"/>
      <c r="D94" s="34" t="str">
        <f t="shared" si="3"/>
        <v/>
      </c>
      <c r="E94" s="35" t="str">
        <f t="shared" si="2"/>
        <v/>
      </c>
      <c r="F94" s="36"/>
      <c r="G94" s="36"/>
      <c r="H94" s="24"/>
      <c r="I94" s="24"/>
      <c r="J94" s="37"/>
      <c r="K94" s="38"/>
    </row>
    <row r="95" spans="1:11" hidden="1" x14ac:dyDescent="0.35">
      <c r="A95" s="33">
        <v>75</v>
      </c>
      <c r="B95" s="24"/>
      <c r="C95" s="34"/>
      <c r="D95" s="34" t="str">
        <f t="shared" si="3"/>
        <v/>
      </c>
      <c r="E95" s="35" t="str">
        <f t="shared" si="2"/>
        <v/>
      </c>
      <c r="F95" s="36"/>
      <c r="G95" s="36"/>
      <c r="H95" s="24"/>
      <c r="I95" s="24"/>
      <c r="J95" s="37"/>
      <c r="K95" s="38"/>
    </row>
    <row r="96" spans="1:11" hidden="1" x14ac:dyDescent="0.35">
      <c r="A96" s="33">
        <v>76</v>
      </c>
      <c r="B96" s="24"/>
      <c r="C96" s="34"/>
      <c r="D96" s="34" t="str">
        <f t="shared" si="3"/>
        <v/>
      </c>
      <c r="E96" s="35" t="str">
        <f t="shared" si="2"/>
        <v/>
      </c>
      <c r="F96" s="36"/>
      <c r="G96" s="36"/>
      <c r="H96" s="24"/>
      <c r="I96" s="24"/>
      <c r="J96" s="37"/>
      <c r="K96" s="38"/>
    </row>
    <row r="97" spans="1:11" hidden="1" x14ac:dyDescent="0.35">
      <c r="A97" s="33">
        <v>77</v>
      </c>
      <c r="B97" s="24"/>
      <c r="C97" s="34"/>
      <c r="D97" s="34" t="str">
        <f t="shared" si="3"/>
        <v/>
      </c>
      <c r="E97" s="35" t="str">
        <f t="shared" si="2"/>
        <v/>
      </c>
      <c r="F97" s="36"/>
      <c r="G97" s="36"/>
      <c r="H97" s="24"/>
      <c r="I97" s="24"/>
      <c r="J97" s="37"/>
      <c r="K97" s="38"/>
    </row>
    <row r="98" spans="1:11" hidden="1" x14ac:dyDescent="0.35">
      <c r="A98" s="33">
        <v>78</v>
      </c>
      <c r="B98" s="24"/>
      <c r="C98" s="34"/>
      <c r="D98" s="34" t="str">
        <f t="shared" si="3"/>
        <v/>
      </c>
      <c r="E98" s="35" t="str">
        <f t="shared" si="2"/>
        <v/>
      </c>
      <c r="F98" s="36"/>
      <c r="G98" s="36"/>
      <c r="H98" s="24"/>
      <c r="I98" s="24"/>
      <c r="J98" s="37"/>
      <c r="K98" s="38"/>
    </row>
    <row r="99" spans="1:11" hidden="1" x14ac:dyDescent="0.35">
      <c r="A99" s="33">
        <v>79</v>
      </c>
      <c r="B99" s="24"/>
      <c r="C99" s="34"/>
      <c r="D99" s="34" t="str">
        <f t="shared" si="3"/>
        <v/>
      </c>
      <c r="E99" s="35" t="str">
        <f t="shared" si="2"/>
        <v/>
      </c>
      <c r="F99" s="36"/>
      <c r="G99" s="36"/>
      <c r="H99" s="24"/>
      <c r="I99" s="24"/>
      <c r="J99" s="37"/>
      <c r="K99" s="38"/>
    </row>
    <row r="100" spans="1:11" hidden="1" x14ac:dyDescent="0.35">
      <c r="A100" s="33">
        <v>80</v>
      </c>
      <c r="B100" s="24"/>
      <c r="C100" s="34"/>
      <c r="D100" s="34" t="str">
        <f t="shared" si="3"/>
        <v/>
      </c>
      <c r="E100" s="35" t="str">
        <f t="shared" si="2"/>
        <v/>
      </c>
      <c r="F100" s="36"/>
      <c r="G100" s="36"/>
      <c r="H100" s="24"/>
      <c r="I100" s="24"/>
      <c r="J100" s="37"/>
      <c r="K100" s="38"/>
    </row>
    <row r="101" spans="1:11" hidden="1" x14ac:dyDescent="0.35">
      <c r="A101" s="33">
        <v>81</v>
      </c>
      <c r="B101" s="24"/>
      <c r="C101" s="34"/>
      <c r="D101" s="34" t="str">
        <f t="shared" si="3"/>
        <v/>
      </c>
      <c r="E101" s="35" t="str">
        <f t="shared" si="2"/>
        <v/>
      </c>
      <c r="F101" s="36"/>
      <c r="G101" s="36"/>
      <c r="H101" s="24"/>
      <c r="I101" s="24"/>
      <c r="J101" s="37"/>
      <c r="K101" s="38"/>
    </row>
    <row r="102" spans="1:11" hidden="1" x14ac:dyDescent="0.35">
      <c r="A102" s="33">
        <v>82</v>
      </c>
      <c r="B102" s="24"/>
      <c r="C102" s="34"/>
      <c r="D102" s="34" t="str">
        <f t="shared" si="3"/>
        <v/>
      </c>
      <c r="E102" s="35" t="str">
        <f t="shared" si="2"/>
        <v/>
      </c>
      <c r="F102" s="36"/>
      <c r="G102" s="36"/>
      <c r="H102" s="24"/>
      <c r="I102" s="24"/>
      <c r="J102" s="37"/>
      <c r="K102" s="38"/>
    </row>
    <row r="103" spans="1:11" hidden="1" x14ac:dyDescent="0.35">
      <c r="A103" s="33">
        <v>83</v>
      </c>
      <c r="B103" s="24"/>
      <c r="C103" s="34"/>
      <c r="D103" s="34" t="str">
        <f t="shared" si="3"/>
        <v/>
      </c>
      <c r="E103" s="35" t="str">
        <f t="shared" si="2"/>
        <v/>
      </c>
      <c r="F103" s="36"/>
      <c r="G103" s="36"/>
      <c r="H103" s="24"/>
      <c r="I103" s="24"/>
      <c r="J103" s="37"/>
      <c r="K103" s="38"/>
    </row>
    <row r="104" spans="1:11" hidden="1" x14ac:dyDescent="0.35">
      <c r="A104" s="33">
        <v>84</v>
      </c>
      <c r="B104" s="24"/>
      <c r="C104" s="34"/>
      <c r="D104" s="34" t="str">
        <f t="shared" si="3"/>
        <v/>
      </c>
      <c r="E104" s="35" t="str">
        <f t="shared" si="2"/>
        <v/>
      </c>
      <c r="F104" s="36"/>
      <c r="G104" s="36"/>
      <c r="H104" s="24"/>
      <c r="I104" s="24"/>
      <c r="J104" s="37"/>
      <c r="K104" s="38"/>
    </row>
    <row r="105" spans="1:11" hidden="1" x14ac:dyDescent="0.35">
      <c r="A105" s="33">
        <v>85</v>
      </c>
      <c r="B105" s="24"/>
      <c r="C105" s="34"/>
      <c r="D105" s="34" t="str">
        <f t="shared" si="3"/>
        <v/>
      </c>
      <c r="E105" s="35" t="str">
        <f t="shared" si="2"/>
        <v/>
      </c>
      <c r="F105" s="36"/>
      <c r="G105" s="36"/>
      <c r="H105" s="24"/>
      <c r="I105" s="24"/>
      <c r="J105" s="37"/>
      <c r="K105" s="38"/>
    </row>
    <row r="106" spans="1:11" hidden="1" x14ac:dyDescent="0.35">
      <c r="A106" s="33">
        <v>86</v>
      </c>
      <c r="B106" s="24"/>
      <c r="C106" s="34"/>
      <c r="D106" s="34" t="str">
        <f t="shared" si="3"/>
        <v/>
      </c>
      <c r="E106" s="35" t="str">
        <f t="shared" si="2"/>
        <v/>
      </c>
      <c r="F106" s="36"/>
      <c r="G106" s="36"/>
      <c r="H106" s="24"/>
      <c r="I106" s="24"/>
      <c r="J106" s="37"/>
      <c r="K106" s="38"/>
    </row>
    <row r="107" spans="1:11" hidden="1" x14ac:dyDescent="0.35">
      <c r="A107" s="33">
        <v>87</v>
      </c>
      <c r="B107" s="24"/>
      <c r="C107" s="34"/>
      <c r="D107" s="34" t="str">
        <f t="shared" si="3"/>
        <v/>
      </c>
      <c r="E107" s="35" t="str">
        <f t="shared" si="2"/>
        <v/>
      </c>
      <c r="F107" s="36"/>
      <c r="G107" s="36"/>
      <c r="H107" s="24"/>
      <c r="I107" s="24"/>
      <c r="J107" s="37"/>
      <c r="K107" s="38"/>
    </row>
    <row r="108" spans="1:11" hidden="1" x14ac:dyDescent="0.35">
      <c r="A108" s="33">
        <v>88</v>
      </c>
      <c r="B108" s="24"/>
      <c r="C108" s="34"/>
      <c r="D108" s="34" t="str">
        <f t="shared" si="3"/>
        <v/>
      </c>
      <c r="E108" s="35" t="str">
        <f t="shared" si="2"/>
        <v/>
      </c>
      <c r="F108" s="36"/>
      <c r="G108" s="36"/>
      <c r="H108" s="24"/>
      <c r="I108" s="24"/>
      <c r="J108" s="37"/>
      <c r="K108" s="38"/>
    </row>
    <row r="109" spans="1:11" hidden="1" x14ac:dyDescent="0.35">
      <c r="A109" s="33">
        <v>89</v>
      </c>
      <c r="B109" s="24"/>
      <c r="C109" s="34"/>
      <c r="D109" s="34" t="str">
        <f t="shared" si="3"/>
        <v/>
      </c>
      <c r="E109" s="35" t="str">
        <f t="shared" si="2"/>
        <v/>
      </c>
      <c r="F109" s="36"/>
      <c r="G109" s="36"/>
      <c r="H109" s="24"/>
      <c r="I109" s="24"/>
      <c r="J109" s="37"/>
      <c r="K109" s="38"/>
    </row>
    <row r="110" spans="1:11" hidden="1" x14ac:dyDescent="0.35">
      <c r="A110" s="33">
        <v>90</v>
      </c>
      <c r="B110" s="24"/>
      <c r="C110" s="34"/>
      <c r="D110" s="34" t="str">
        <f t="shared" si="3"/>
        <v/>
      </c>
      <c r="E110" s="35" t="str">
        <f t="shared" si="2"/>
        <v/>
      </c>
      <c r="F110" s="36"/>
      <c r="G110" s="36"/>
      <c r="H110" s="24"/>
      <c r="I110" s="24"/>
      <c r="J110" s="37"/>
      <c r="K110" s="38"/>
    </row>
    <row r="111" spans="1:11" hidden="1" x14ac:dyDescent="0.35">
      <c r="A111" s="33">
        <v>91</v>
      </c>
      <c r="B111" s="24"/>
      <c r="C111" s="34"/>
      <c r="D111" s="34" t="str">
        <f t="shared" si="3"/>
        <v/>
      </c>
      <c r="E111" s="35" t="str">
        <f t="shared" si="2"/>
        <v/>
      </c>
      <c r="F111" s="36"/>
      <c r="G111" s="36"/>
      <c r="H111" s="24"/>
      <c r="I111" s="24"/>
      <c r="J111" s="37"/>
      <c r="K111" s="38"/>
    </row>
    <row r="112" spans="1:11" hidden="1" x14ac:dyDescent="0.35">
      <c r="A112" s="33">
        <v>92</v>
      </c>
      <c r="B112" s="24"/>
      <c r="C112" s="34"/>
      <c r="D112" s="34" t="str">
        <f t="shared" si="3"/>
        <v/>
      </c>
      <c r="E112" s="35" t="str">
        <f t="shared" si="2"/>
        <v/>
      </c>
      <c r="F112" s="36"/>
      <c r="G112" s="36"/>
      <c r="H112" s="24"/>
      <c r="I112" s="24"/>
      <c r="J112" s="37"/>
      <c r="K112" s="38"/>
    </row>
    <row r="113" spans="1:11" hidden="1" x14ac:dyDescent="0.35">
      <c r="A113" s="33">
        <v>93</v>
      </c>
      <c r="B113" s="24"/>
      <c r="C113" s="34"/>
      <c r="D113" s="34" t="str">
        <f t="shared" si="3"/>
        <v/>
      </c>
      <c r="E113" s="35" t="str">
        <f t="shared" si="2"/>
        <v/>
      </c>
      <c r="F113" s="36"/>
      <c r="G113" s="36"/>
      <c r="H113" s="24"/>
      <c r="I113" s="24"/>
      <c r="J113" s="37"/>
      <c r="K113" s="38"/>
    </row>
    <row r="114" spans="1:11" hidden="1" x14ac:dyDescent="0.35">
      <c r="A114" s="33">
        <v>94</v>
      </c>
      <c r="B114" s="24"/>
      <c r="C114" s="34"/>
      <c r="D114" s="34" t="str">
        <f t="shared" si="3"/>
        <v/>
      </c>
      <c r="E114" s="35" t="str">
        <f t="shared" si="2"/>
        <v/>
      </c>
      <c r="F114" s="36"/>
      <c r="G114" s="36"/>
      <c r="H114" s="24"/>
      <c r="I114" s="24"/>
      <c r="J114" s="37"/>
      <c r="K114" s="38"/>
    </row>
    <row r="115" spans="1:11" hidden="1" x14ac:dyDescent="0.35">
      <c r="A115" s="33">
        <v>95</v>
      </c>
      <c r="B115" s="24"/>
      <c r="C115" s="34"/>
      <c r="D115" s="34" t="str">
        <f t="shared" si="3"/>
        <v/>
      </c>
      <c r="E115" s="35" t="str">
        <f t="shared" si="2"/>
        <v/>
      </c>
      <c r="F115" s="36"/>
      <c r="G115" s="36"/>
      <c r="H115" s="24"/>
      <c r="I115" s="24"/>
      <c r="J115" s="37"/>
      <c r="K115" s="38"/>
    </row>
    <row r="116" spans="1:11" hidden="1" x14ac:dyDescent="0.35">
      <c r="A116" s="33">
        <v>96</v>
      </c>
      <c r="B116" s="24"/>
      <c r="C116" s="34"/>
      <c r="D116" s="34" t="str">
        <f t="shared" si="3"/>
        <v/>
      </c>
      <c r="E116" s="35" t="str">
        <f t="shared" si="2"/>
        <v/>
      </c>
      <c r="F116" s="36"/>
      <c r="G116" s="36"/>
      <c r="H116" s="24"/>
      <c r="I116" s="24"/>
      <c r="J116" s="37"/>
      <c r="K116" s="38"/>
    </row>
    <row r="117" spans="1:11" hidden="1" x14ac:dyDescent="0.35">
      <c r="A117" s="33">
        <v>97</v>
      </c>
      <c r="B117" s="24"/>
      <c r="C117" s="34"/>
      <c r="D117" s="34" t="str">
        <f t="shared" si="3"/>
        <v/>
      </c>
      <c r="E117" s="35" t="str">
        <f t="shared" si="2"/>
        <v/>
      </c>
      <c r="F117" s="36"/>
      <c r="G117" s="36"/>
      <c r="H117" s="24"/>
      <c r="I117" s="24"/>
      <c r="J117" s="37"/>
      <c r="K117" s="38"/>
    </row>
    <row r="118" spans="1:11" hidden="1" x14ac:dyDescent="0.35">
      <c r="A118" s="33">
        <v>98</v>
      </c>
      <c r="B118" s="24"/>
      <c r="C118" s="34"/>
      <c r="D118" s="34" t="str">
        <f t="shared" si="3"/>
        <v/>
      </c>
      <c r="E118" s="35" t="str">
        <f t="shared" si="2"/>
        <v/>
      </c>
      <c r="F118" s="36"/>
      <c r="G118" s="36"/>
      <c r="H118" s="24"/>
      <c r="I118" s="24"/>
      <c r="J118" s="37"/>
      <c r="K118" s="38"/>
    </row>
    <row r="119" spans="1:11" hidden="1" x14ac:dyDescent="0.35">
      <c r="A119" s="33">
        <v>99</v>
      </c>
      <c r="B119" s="24"/>
      <c r="C119" s="34"/>
      <c r="D119" s="34" t="str">
        <f t="shared" si="3"/>
        <v/>
      </c>
      <c r="E119" s="35" t="str">
        <f t="shared" si="2"/>
        <v/>
      </c>
      <c r="F119" s="36"/>
      <c r="G119" s="36"/>
      <c r="H119" s="24"/>
      <c r="I119" s="24"/>
      <c r="J119" s="37"/>
      <c r="K119" s="38"/>
    </row>
    <row r="120" spans="1:11" hidden="1" x14ac:dyDescent="0.35">
      <c r="A120" s="33">
        <v>100</v>
      </c>
      <c r="B120" s="24"/>
      <c r="C120" s="34"/>
      <c r="D120" s="34" t="str">
        <f t="shared" si="3"/>
        <v/>
      </c>
      <c r="E120" s="35" t="str">
        <f t="shared" si="2"/>
        <v/>
      </c>
      <c r="F120" s="36"/>
      <c r="G120" s="36"/>
      <c r="H120" s="24"/>
      <c r="I120" s="24"/>
      <c r="J120" s="37"/>
      <c r="K120" s="38"/>
    </row>
    <row r="121" spans="1:11" hidden="1" x14ac:dyDescent="0.35">
      <c r="A121" s="33">
        <v>101</v>
      </c>
      <c r="B121" s="24"/>
      <c r="C121" s="34"/>
      <c r="D121" s="34" t="str">
        <f t="shared" si="3"/>
        <v/>
      </c>
      <c r="E121" s="35" t="str">
        <f t="shared" si="2"/>
        <v/>
      </c>
      <c r="F121" s="36"/>
      <c r="G121" s="36"/>
      <c r="H121" s="24"/>
      <c r="I121" s="24"/>
      <c r="J121" s="37"/>
      <c r="K121" s="38"/>
    </row>
    <row r="122" spans="1:11" hidden="1" x14ac:dyDescent="0.35">
      <c r="A122" s="33">
        <v>102</v>
      </c>
      <c r="B122" s="24"/>
      <c r="C122" s="34"/>
      <c r="D122" s="34" t="str">
        <f t="shared" si="3"/>
        <v/>
      </c>
      <c r="E122" s="35" t="str">
        <f t="shared" si="2"/>
        <v/>
      </c>
      <c r="F122" s="36"/>
      <c r="G122" s="36"/>
      <c r="H122" s="24"/>
      <c r="I122" s="24"/>
      <c r="J122" s="37"/>
      <c r="K122" s="38"/>
    </row>
    <row r="123" spans="1:11" hidden="1" x14ac:dyDescent="0.35">
      <c r="A123" s="33">
        <v>103</v>
      </c>
      <c r="B123" s="24"/>
      <c r="C123" s="34"/>
      <c r="D123" s="34" t="str">
        <f t="shared" si="3"/>
        <v/>
      </c>
      <c r="E123" s="35"/>
      <c r="F123" s="36"/>
      <c r="G123" s="36"/>
      <c r="H123" s="24"/>
      <c r="I123" s="24"/>
      <c r="J123" s="37"/>
      <c r="K123" s="38"/>
    </row>
    <row r="124" spans="1:11" x14ac:dyDescent="0.35">
      <c r="A124" s="33">
        <v>104</v>
      </c>
      <c r="B124" s="24"/>
      <c r="C124" s="34"/>
      <c r="D124" s="34" t="str">
        <f t="shared" si="3"/>
        <v/>
      </c>
      <c r="E124" s="35"/>
      <c r="F124" s="36"/>
      <c r="G124" s="36"/>
      <c r="H124" s="24"/>
      <c r="I124" s="24"/>
      <c r="J124" s="37"/>
      <c r="K124" s="38"/>
    </row>
    <row r="125" spans="1:11" x14ac:dyDescent="0.35">
      <c r="A125" s="33"/>
      <c r="B125" s="24" t="s">
        <v>118</v>
      </c>
      <c r="C125" s="41">
        <f>MAX(C21:C124)-C21</f>
        <v>1.71412037037037E-2</v>
      </c>
      <c r="D125" s="35">
        <f>SUM(D21:D122)-D21</f>
        <v>1.71412037037037E-2</v>
      </c>
      <c r="E125" s="35">
        <f>SUM(E21:E122)</f>
        <v>3.3796296296296317E-3</v>
      </c>
      <c r="F125" s="36"/>
      <c r="G125" s="36"/>
      <c r="H125" s="24"/>
      <c r="I125" s="24"/>
      <c r="J125" s="37"/>
      <c r="K125" s="38"/>
    </row>
    <row r="126" spans="1:11" x14ac:dyDescent="0.35">
      <c r="A126" s="33"/>
      <c r="B126" s="24" t="s">
        <v>119</v>
      </c>
      <c r="C126" s="34"/>
      <c r="D126" s="34"/>
      <c r="E126" s="35"/>
      <c r="F126" s="36"/>
      <c r="G126" s="36"/>
      <c r="H126" s="24"/>
      <c r="I126" s="24"/>
      <c r="J126" s="37"/>
      <c r="K126" s="38"/>
    </row>
    <row r="127" spans="1:11" ht="15" thickBot="1" x14ac:dyDescent="0.4">
      <c r="A127" s="42"/>
      <c r="B127" s="43" t="s">
        <v>120</v>
      </c>
      <c r="C127" s="44"/>
      <c r="D127" s="44"/>
      <c r="E127" s="45"/>
      <c r="F127" s="46"/>
      <c r="G127" s="46"/>
      <c r="H127" s="43"/>
      <c r="I127" s="43"/>
      <c r="J127" s="47"/>
      <c r="K127" s="48"/>
    </row>
    <row r="128" spans="1:11" ht="15" thickBot="1" x14ac:dyDescent="0.4">
      <c r="A128" s="49"/>
      <c r="B128" s="50"/>
      <c r="C128" s="51"/>
      <c r="D128" s="52"/>
      <c r="E128" s="52"/>
      <c r="F128" s="49"/>
      <c r="G128" s="49"/>
      <c r="H128" s="53"/>
      <c r="I128" s="53"/>
      <c r="J128" s="54"/>
      <c r="K128" s="53"/>
    </row>
    <row r="129" spans="1:11" x14ac:dyDescent="0.35">
      <c r="A129" s="49"/>
      <c r="B129" s="55" t="s">
        <v>121</v>
      </c>
      <c r="C129" s="56">
        <f>60*C138</f>
        <v>24.68333333333333</v>
      </c>
      <c r="D129" s="51"/>
      <c r="E129" s="57" t="s">
        <v>122</v>
      </c>
      <c r="F129" s="58"/>
      <c r="G129" s="58"/>
      <c r="H129" s="59"/>
      <c r="I129" s="53"/>
      <c r="J129" s="54"/>
      <c r="K129" s="53"/>
    </row>
    <row r="130" spans="1:11" x14ac:dyDescent="0.35">
      <c r="A130" s="49"/>
      <c r="B130" s="60" t="s">
        <v>123</v>
      </c>
      <c r="C130" s="61">
        <f>60*C133</f>
        <v>4.8666666666666698</v>
      </c>
      <c r="D130" s="51"/>
      <c r="E130" s="62"/>
      <c r="F130" s="49"/>
      <c r="G130" s="49"/>
      <c r="H130" s="53"/>
      <c r="I130" s="53"/>
      <c r="J130" s="54"/>
      <c r="K130" s="53"/>
    </row>
    <row r="131" spans="1:11" x14ac:dyDescent="0.35">
      <c r="A131" s="49"/>
      <c r="B131" s="60" t="s">
        <v>124</v>
      </c>
      <c r="C131" s="61">
        <f>C129-C130</f>
        <v>19.816666666666659</v>
      </c>
      <c r="D131" s="51"/>
      <c r="E131" s="62"/>
      <c r="F131" s="49"/>
      <c r="G131" s="49"/>
      <c r="H131" s="53"/>
      <c r="I131" s="53"/>
      <c r="J131" s="54"/>
      <c r="K131" s="53"/>
    </row>
    <row r="132" spans="1:11" x14ac:dyDescent="0.35">
      <c r="A132" s="49"/>
      <c r="B132" s="60" t="s">
        <v>125</v>
      </c>
      <c r="C132" s="63">
        <f>(C131/C129)</f>
        <v>0.80283592167454398</v>
      </c>
      <c r="D132" s="51"/>
      <c r="E132" s="62"/>
      <c r="F132" s="49"/>
      <c r="G132" s="49"/>
      <c r="H132" s="53"/>
      <c r="I132" s="53"/>
      <c r="J132" s="54"/>
      <c r="K132" s="53"/>
    </row>
    <row r="133" spans="1:11" x14ac:dyDescent="0.35">
      <c r="A133" s="49"/>
      <c r="B133" s="60" t="s">
        <v>126</v>
      </c>
      <c r="C133" s="63">
        <f>E125/C135</f>
        <v>8.1111111111111162E-2</v>
      </c>
      <c r="D133" s="51"/>
      <c r="E133" s="53"/>
      <c r="F133" s="49"/>
      <c r="G133" s="49"/>
      <c r="H133" s="53"/>
      <c r="I133" s="53"/>
      <c r="J133" s="54"/>
      <c r="K133" s="53"/>
    </row>
    <row r="134" spans="1:11" x14ac:dyDescent="0.35">
      <c r="A134" s="49"/>
      <c r="B134" s="60" t="s">
        <v>127</v>
      </c>
      <c r="C134" s="64">
        <f>C125-E125</f>
        <v>1.3761574074074068E-2</v>
      </c>
      <c r="D134" s="65">
        <f>24*60</f>
        <v>1440</v>
      </c>
      <c r="E134" s="66">
        <f>C134</f>
        <v>1.3761574074074068E-2</v>
      </c>
      <c r="F134" s="49"/>
      <c r="G134" s="49"/>
      <c r="H134" s="53"/>
      <c r="I134" s="53"/>
      <c r="J134" s="54"/>
      <c r="K134" s="53"/>
    </row>
    <row r="135" spans="1:11" x14ac:dyDescent="0.35">
      <c r="A135" s="49"/>
      <c r="B135" s="67" t="s">
        <v>128</v>
      </c>
      <c r="C135" s="68">
        <v>4.1666666666666664E-2</v>
      </c>
      <c r="D135" s="51"/>
      <c r="E135" s="66"/>
      <c r="F135" s="49"/>
      <c r="G135" s="49"/>
      <c r="H135" s="53"/>
      <c r="I135" s="53"/>
      <c r="J135" s="54"/>
      <c r="K135" s="53"/>
    </row>
    <row r="136" spans="1:11" x14ac:dyDescent="0.35">
      <c r="A136" s="49"/>
      <c r="B136" s="67" t="s">
        <v>129</v>
      </c>
      <c r="C136" s="63">
        <f>(C134/C135)</f>
        <v>0.33027777777777767</v>
      </c>
      <c r="D136" s="51"/>
      <c r="E136" s="62"/>
      <c r="F136" s="49"/>
      <c r="G136" s="49"/>
      <c r="H136" s="53"/>
      <c r="I136" s="53"/>
      <c r="J136" s="54"/>
      <c r="K136" s="53"/>
    </row>
    <row r="137" spans="1:11" x14ac:dyDescent="0.35">
      <c r="A137" s="49"/>
      <c r="B137" s="69" t="s">
        <v>130</v>
      </c>
      <c r="C137" s="70">
        <f>E134*D134</f>
        <v>19.816666666666659</v>
      </c>
      <c r="D137" s="51"/>
      <c r="E137" s="62"/>
      <c r="F137" s="49"/>
      <c r="G137" s="49"/>
      <c r="H137" s="53"/>
      <c r="I137" s="53"/>
      <c r="J137" s="54"/>
      <c r="K137" s="53"/>
    </row>
    <row r="138" spans="1:11" ht="15" thickBot="1" x14ac:dyDescent="0.4">
      <c r="A138" s="49"/>
      <c r="B138" s="71" t="s">
        <v>131</v>
      </c>
      <c r="C138" s="72">
        <f>C125/C135</f>
        <v>0.4113888888888888</v>
      </c>
      <c r="D138" s="51"/>
      <c r="E138" s="62"/>
      <c r="F138" s="49"/>
      <c r="G138" s="49"/>
      <c r="H138" s="53"/>
      <c r="I138" s="53"/>
      <c r="J138" s="54"/>
      <c r="K138" s="53"/>
    </row>
  </sheetData>
  <mergeCells count="1">
    <mergeCell ref="B1:D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5"/>
  <sheetViews>
    <sheetView zoomScaleNormal="100" workbookViewId="0">
      <selection activeCell="J8" sqref="J8"/>
    </sheetView>
  </sheetViews>
  <sheetFormatPr defaultRowHeight="14.5" x14ac:dyDescent="0.35"/>
  <cols>
    <col min="2" max="2" width="44" customWidth="1"/>
    <col min="3" max="3" width="13.54296875" customWidth="1"/>
    <col min="4" max="4" width="19.36328125" customWidth="1"/>
  </cols>
  <sheetData>
    <row r="1" spans="2:8" ht="21" x14ac:dyDescent="0.5">
      <c r="B1" s="213" t="s">
        <v>56</v>
      </c>
      <c r="C1" s="213"/>
      <c r="D1" s="213"/>
    </row>
    <row r="2" spans="2:8" x14ac:dyDescent="0.35">
      <c r="B2" s="1" t="s">
        <v>0</v>
      </c>
      <c r="C2" s="1">
        <v>2</v>
      </c>
      <c r="D2" s="3" t="s">
        <v>3</v>
      </c>
    </row>
    <row r="3" spans="2:8" x14ac:dyDescent="0.35">
      <c r="B3" s="1" t="s">
        <v>8</v>
      </c>
      <c r="C3" s="1">
        <v>2</v>
      </c>
      <c r="D3" s="3" t="s">
        <v>4</v>
      </c>
    </row>
    <row r="4" spans="2:8" x14ac:dyDescent="0.35">
      <c r="B4" s="1" t="s">
        <v>383</v>
      </c>
      <c r="C4" s="1">
        <v>30</v>
      </c>
      <c r="D4" s="3" t="s">
        <v>5</v>
      </c>
    </row>
    <row r="5" spans="2:8" x14ac:dyDescent="0.35">
      <c r="B5" s="1" t="s">
        <v>384</v>
      </c>
      <c r="C5" s="1">
        <v>15</v>
      </c>
      <c r="D5" s="3" t="s">
        <v>6</v>
      </c>
    </row>
    <row r="6" spans="2:8" x14ac:dyDescent="0.35">
      <c r="B6" s="1" t="s">
        <v>378</v>
      </c>
      <c r="C6" s="1">
        <v>2</v>
      </c>
      <c r="D6" s="3" t="s">
        <v>9</v>
      </c>
    </row>
    <row r="7" spans="2:8" x14ac:dyDescent="0.35">
      <c r="B7" s="1" t="s">
        <v>7</v>
      </c>
      <c r="C7" s="1">
        <v>250</v>
      </c>
      <c r="D7" s="3" t="s">
        <v>10</v>
      </c>
    </row>
    <row r="8" spans="2:8" x14ac:dyDescent="0.35">
      <c r="B8" s="1" t="s">
        <v>1</v>
      </c>
      <c r="C8" s="2">
        <v>15</v>
      </c>
      <c r="D8" s="3" t="s">
        <v>32</v>
      </c>
    </row>
    <row r="9" spans="2:8" x14ac:dyDescent="0.35">
      <c r="B9" s="1" t="s">
        <v>360</v>
      </c>
      <c r="C9" s="14">
        <f>(C4-C5)/60*C3*C8*C6*C7</f>
        <v>3750</v>
      </c>
      <c r="D9" s="1" t="s">
        <v>385</v>
      </c>
    </row>
    <row r="11" spans="2:8" x14ac:dyDescent="0.35">
      <c r="B11" t="s">
        <v>365</v>
      </c>
      <c r="C11" s="17">
        <f>(C4-C5)/60*C2*C3*C7</f>
        <v>250</v>
      </c>
      <c r="D11" s="205"/>
    </row>
    <row r="12" spans="2:8" x14ac:dyDescent="0.35">
      <c r="D12" s="205"/>
    </row>
    <row r="15" spans="2:8" ht="24" thickBot="1" x14ac:dyDescent="0.6">
      <c r="B15" s="214" t="s">
        <v>210</v>
      </c>
      <c r="C15" s="215"/>
      <c r="D15" s="215"/>
      <c r="E15" s="215"/>
      <c r="F15" s="215"/>
      <c r="G15" s="215"/>
      <c r="H15" s="215"/>
    </row>
    <row r="16" spans="2:8" ht="15.5" x14ac:dyDescent="0.35">
      <c r="B16" s="90" t="s">
        <v>175</v>
      </c>
      <c r="C16" s="91"/>
      <c r="D16" s="91"/>
      <c r="E16" s="91"/>
      <c r="F16" s="92" t="s">
        <v>43</v>
      </c>
      <c r="G16" s="92" t="s">
        <v>176</v>
      </c>
      <c r="H16" s="93"/>
    </row>
    <row r="17" spans="2:8" x14ac:dyDescent="0.35">
      <c r="B17" s="94" t="s">
        <v>3</v>
      </c>
      <c r="C17" s="95" t="s">
        <v>177</v>
      </c>
      <c r="D17" s="95"/>
      <c r="E17" s="95"/>
      <c r="F17" s="95">
        <v>480</v>
      </c>
      <c r="G17" s="95" t="s">
        <v>178</v>
      </c>
      <c r="H17" s="96"/>
    </row>
    <row r="18" spans="2:8" x14ac:dyDescent="0.35">
      <c r="B18" s="97" t="s">
        <v>4</v>
      </c>
      <c r="C18" s="98" t="s">
        <v>179</v>
      </c>
      <c r="D18" s="98"/>
      <c r="E18" s="98"/>
      <c r="F18" s="98">
        <v>20</v>
      </c>
      <c r="G18" s="98" t="s">
        <v>178</v>
      </c>
      <c r="H18" s="99"/>
    </row>
    <row r="19" spans="2:8" x14ac:dyDescent="0.35">
      <c r="B19" s="97" t="s">
        <v>5</v>
      </c>
      <c r="C19" s="98" t="s">
        <v>180</v>
      </c>
      <c r="D19" s="98"/>
      <c r="E19" s="98"/>
      <c r="F19" s="98">
        <f>F17-F18</f>
        <v>460</v>
      </c>
      <c r="G19" s="98" t="s">
        <v>178</v>
      </c>
      <c r="H19" s="99" t="s">
        <v>181</v>
      </c>
    </row>
    <row r="20" spans="2:8" ht="15.5" x14ac:dyDescent="0.35">
      <c r="B20" s="100" t="s">
        <v>182</v>
      </c>
      <c r="C20" s="98"/>
      <c r="D20" s="98"/>
      <c r="E20" s="98"/>
      <c r="F20" s="98"/>
      <c r="G20" s="98"/>
      <c r="H20" s="99"/>
    </row>
    <row r="21" spans="2:8" x14ac:dyDescent="0.35">
      <c r="B21" s="97" t="s">
        <v>6</v>
      </c>
      <c r="C21" s="98" t="s">
        <v>183</v>
      </c>
      <c r="D21" s="98"/>
      <c r="E21" s="98"/>
      <c r="F21" s="98">
        <v>30</v>
      </c>
      <c r="G21" s="98" t="s">
        <v>178</v>
      </c>
      <c r="H21" s="99"/>
    </row>
    <row r="22" spans="2:8" x14ac:dyDescent="0.35">
      <c r="B22" s="97" t="s">
        <v>9</v>
      </c>
      <c r="C22" s="216" t="s">
        <v>184</v>
      </c>
      <c r="D22" s="217"/>
      <c r="E22" s="98"/>
      <c r="F22" s="98">
        <v>15</v>
      </c>
      <c r="G22" s="98" t="s">
        <v>178</v>
      </c>
      <c r="H22" s="99"/>
    </row>
    <row r="23" spans="2:8" x14ac:dyDescent="0.35">
      <c r="B23" s="97" t="s">
        <v>10</v>
      </c>
      <c r="C23" s="98" t="s">
        <v>185</v>
      </c>
      <c r="D23" s="98"/>
      <c r="E23" s="98"/>
      <c r="F23" s="98">
        <v>30</v>
      </c>
      <c r="G23" s="98" t="s">
        <v>178</v>
      </c>
      <c r="H23" s="99"/>
    </row>
    <row r="24" spans="2:8" x14ac:dyDescent="0.35">
      <c r="B24" s="97" t="s">
        <v>32</v>
      </c>
      <c r="C24" s="98" t="s">
        <v>186</v>
      </c>
      <c r="D24" s="98"/>
      <c r="E24" s="98"/>
      <c r="F24" s="98">
        <f>F21+F22+F23</f>
        <v>75</v>
      </c>
      <c r="G24" s="98" t="s">
        <v>178</v>
      </c>
      <c r="H24" s="99" t="s">
        <v>187</v>
      </c>
    </row>
    <row r="25" spans="2:8" x14ac:dyDescent="0.35">
      <c r="B25" s="97" t="s">
        <v>188</v>
      </c>
      <c r="C25" s="98" t="s">
        <v>189</v>
      </c>
      <c r="D25" s="98"/>
      <c r="E25" s="98"/>
      <c r="F25" s="98">
        <f>F19-F24</f>
        <v>385</v>
      </c>
      <c r="G25" s="98" t="s">
        <v>178</v>
      </c>
      <c r="H25" s="99" t="s">
        <v>190</v>
      </c>
    </row>
    <row r="26" spans="2:8" x14ac:dyDescent="0.35">
      <c r="B26" s="97" t="s">
        <v>191</v>
      </c>
      <c r="C26" s="98" t="s">
        <v>192</v>
      </c>
      <c r="D26" s="98"/>
      <c r="E26" s="98"/>
      <c r="F26" s="101">
        <f>F25/F19</f>
        <v>0.83695652173913049</v>
      </c>
      <c r="G26" s="98"/>
      <c r="H26" s="99" t="s">
        <v>193</v>
      </c>
    </row>
    <row r="27" spans="2:8" ht="15.5" x14ac:dyDescent="0.35">
      <c r="B27" s="100" t="s">
        <v>194</v>
      </c>
      <c r="C27" s="98"/>
      <c r="D27" s="98"/>
      <c r="E27" s="98"/>
      <c r="F27" s="98"/>
      <c r="G27" s="98"/>
      <c r="H27" s="99"/>
    </row>
    <row r="28" spans="2:8" x14ac:dyDescent="0.35">
      <c r="B28" s="97" t="s">
        <v>195</v>
      </c>
      <c r="C28" s="98" t="s">
        <v>196</v>
      </c>
      <c r="D28" s="98"/>
      <c r="E28" s="98"/>
      <c r="F28" s="98">
        <v>385</v>
      </c>
      <c r="G28" s="98" t="s">
        <v>197</v>
      </c>
      <c r="H28" s="99"/>
    </row>
    <row r="29" spans="2:8" x14ac:dyDescent="0.35">
      <c r="B29" s="97" t="s">
        <v>198</v>
      </c>
      <c r="C29" s="102" t="s">
        <v>199</v>
      </c>
      <c r="D29" s="98"/>
      <c r="E29" s="98"/>
      <c r="F29" s="98">
        <v>60</v>
      </c>
      <c r="G29" s="98" t="s">
        <v>200</v>
      </c>
      <c r="H29" s="99"/>
    </row>
    <row r="30" spans="2:8" x14ac:dyDescent="0.35">
      <c r="B30" s="97" t="s">
        <v>201</v>
      </c>
      <c r="C30" s="98" t="s">
        <v>194</v>
      </c>
      <c r="D30" s="98"/>
      <c r="E30" s="98"/>
      <c r="F30" s="103">
        <f>(F29*F28/60)/F25</f>
        <v>1</v>
      </c>
      <c r="G30" s="98"/>
      <c r="H30" s="99" t="s">
        <v>202</v>
      </c>
    </row>
    <row r="31" spans="2:8" ht="15.5" x14ac:dyDescent="0.35">
      <c r="B31" s="218" t="s">
        <v>203</v>
      </c>
      <c r="C31" s="219"/>
      <c r="D31" s="217"/>
      <c r="E31" s="98"/>
      <c r="F31" s="98"/>
      <c r="G31" s="98"/>
      <c r="H31" s="99"/>
    </row>
    <row r="32" spans="2:8" x14ac:dyDescent="0.35">
      <c r="B32" s="97" t="s">
        <v>204</v>
      </c>
      <c r="C32" s="98" t="s">
        <v>205</v>
      </c>
      <c r="D32" s="98"/>
      <c r="E32" s="98"/>
      <c r="F32" s="98">
        <v>38</v>
      </c>
      <c r="G32" s="98" t="s">
        <v>197</v>
      </c>
      <c r="H32" s="99"/>
    </row>
    <row r="33" spans="2:8" x14ac:dyDescent="0.35">
      <c r="B33" s="97" t="s">
        <v>206</v>
      </c>
      <c r="C33" s="98" t="s">
        <v>203</v>
      </c>
      <c r="D33" s="98"/>
      <c r="E33" s="98"/>
      <c r="F33" s="104">
        <f>(F28-F32)/F28</f>
        <v>0.90129870129870127</v>
      </c>
      <c r="G33" s="98"/>
      <c r="H33" s="99" t="s">
        <v>207</v>
      </c>
    </row>
    <row r="34" spans="2:8" ht="15" thickBot="1" x14ac:dyDescent="0.4">
      <c r="B34" s="105"/>
      <c r="C34" s="220"/>
      <c r="D34" s="221"/>
      <c r="E34" s="106"/>
      <c r="F34" s="106"/>
      <c r="G34" s="106"/>
      <c r="H34" s="107"/>
    </row>
    <row r="35" spans="2:8" ht="16" thickBot="1" x14ac:dyDescent="0.4">
      <c r="B35" s="108" t="s">
        <v>208</v>
      </c>
      <c r="C35" s="109"/>
      <c r="D35" s="109"/>
      <c r="E35" s="109"/>
      <c r="F35" s="110">
        <f>F26*F30*F33</f>
        <v>0.7543478260869565</v>
      </c>
      <c r="G35" s="109"/>
      <c r="H35" s="111" t="s">
        <v>209</v>
      </c>
    </row>
  </sheetData>
  <mergeCells count="5">
    <mergeCell ref="B1:D1"/>
    <mergeCell ref="B15:H15"/>
    <mergeCell ref="C22:D22"/>
    <mergeCell ref="B31:D31"/>
    <mergeCell ref="C34:D3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C10" sqref="C10"/>
    </sheetView>
  </sheetViews>
  <sheetFormatPr defaultRowHeight="14.5" x14ac:dyDescent="0.35"/>
  <cols>
    <col min="2" max="2" width="41.1796875" bestFit="1" customWidth="1"/>
    <col min="3" max="3" width="14.54296875" customWidth="1"/>
    <col min="4" max="4" width="14" bestFit="1" customWidth="1"/>
  </cols>
  <sheetData>
    <row r="1" spans="2:5" ht="21.5" thickBot="1" x14ac:dyDescent="0.55000000000000004">
      <c r="B1" s="222" t="s">
        <v>53</v>
      </c>
      <c r="C1" s="222"/>
      <c r="D1" s="222"/>
    </row>
    <row r="2" spans="2:5" ht="17.5" customHeight="1" x14ac:dyDescent="0.5">
      <c r="B2" s="9" t="s">
        <v>341</v>
      </c>
      <c r="C2" s="194">
        <v>100000</v>
      </c>
      <c r="D2" s="195"/>
    </row>
    <row r="3" spans="2:5" ht="17.5" customHeight="1" x14ac:dyDescent="0.5">
      <c r="B3" s="10" t="s">
        <v>342</v>
      </c>
      <c r="C3" s="5">
        <v>25000</v>
      </c>
      <c r="D3" s="196"/>
    </row>
    <row r="4" spans="2:5" ht="17.5" customHeight="1" x14ac:dyDescent="0.5">
      <c r="B4" s="10" t="s">
        <v>343</v>
      </c>
      <c r="C4" s="5">
        <v>10000</v>
      </c>
      <c r="D4" s="196"/>
    </row>
    <row r="5" spans="2:5" ht="17.5" customHeight="1" x14ac:dyDescent="0.35">
      <c r="B5" s="10" t="s">
        <v>25</v>
      </c>
      <c r="C5" s="5">
        <f>SUM(C2:C4)</f>
        <v>135000</v>
      </c>
      <c r="D5" s="197" t="s">
        <v>3</v>
      </c>
    </row>
    <row r="6" spans="2:5" ht="17.5" customHeight="1" x14ac:dyDescent="0.35">
      <c r="B6" s="10" t="s">
        <v>376</v>
      </c>
      <c r="C6" s="1">
        <v>8</v>
      </c>
      <c r="D6" s="197" t="s">
        <v>5</v>
      </c>
      <c r="E6" t="s">
        <v>344</v>
      </c>
    </row>
    <row r="7" spans="2:5" ht="17.5" customHeight="1" x14ac:dyDescent="0.35">
      <c r="B7" s="10" t="s">
        <v>375</v>
      </c>
      <c r="C7" s="1">
        <v>6</v>
      </c>
      <c r="D7" s="197" t="s">
        <v>6</v>
      </c>
    </row>
    <row r="8" spans="2:5" ht="17.5" customHeight="1" x14ac:dyDescent="0.35">
      <c r="B8" s="10" t="s">
        <v>26</v>
      </c>
      <c r="C8" s="5">
        <f>IF(C7=0,0,C5*(1-(C7/C6)))</f>
        <v>33750</v>
      </c>
      <c r="D8" s="178" t="s">
        <v>24</v>
      </c>
    </row>
    <row r="9" spans="2:5" ht="17.5" customHeight="1" thickBot="1" x14ac:dyDescent="0.4">
      <c r="B9" s="71" t="s">
        <v>69</v>
      </c>
      <c r="C9" s="199">
        <f>C8*0.1</f>
        <v>3375</v>
      </c>
      <c r="D9" s="198" t="s">
        <v>372</v>
      </c>
    </row>
    <row r="10" spans="2:5" x14ac:dyDescent="0.35">
      <c r="C10" s="17"/>
    </row>
    <row r="12" spans="2:5" x14ac:dyDescent="0.35">
      <c r="C12" s="204"/>
    </row>
    <row r="16" spans="2:5" s="158" customFormat="1" x14ac:dyDescent="0.35"/>
    <row r="17" s="158" customFormat="1" x14ac:dyDescent="0.35"/>
    <row r="18" s="158" customFormat="1" x14ac:dyDescent="0.35"/>
    <row r="19" s="158" customFormat="1" x14ac:dyDescent="0.35"/>
    <row r="20" s="158" customFormat="1" x14ac:dyDescent="0.35"/>
    <row r="21" s="158" customFormat="1" x14ac:dyDescent="0.35"/>
    <row r="22" s="158" customFormat="1" x14ac:dyDescent="0.35"/>
    <row r="23" s="158" customFormat="1" x14ac:dyDescent="0.35"/>
    <row r="24" s="158" customFormat="1" x14ac:dyDescent="0.35"/>
    <row r="25" s="158" customFormat="1" x14ac:dyDescent="0.35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workbookViewId="0">
      <selection activeCell="D14" sqref="D14"/>
    </sheetView>
  </sheetViews>
  <sheetFormatPr defaultRowHeight="14.5" x14ac:dyDescent="0.35"/>
  <cols>
    <col min="1" max="1" width="13.7265625" customWidth="1"/>
    <col min="2" max="2" width="40.453125" customWidth="1"/>
    <col min="3" max="3" width="14.1796875" customWidth="1"/>
    <col min="4" max="4" width="15.1796875" customWidth="1"/>
    <col min="6" max="6" width="12.26953125" customWidth="1"/>
  </cols>
  <sheetData>
    <row r="1" spans="2:4" ht="19.5" customHeight="1" x14ac:dyDescent="0.5">
      <c r="B1" s="213" t="s">
        <v>59</v>
      </c>
      <c r="C1" s="213"/>
      <c r="D1" s="213"/>
    </row>
    <row r="2" spans="2:4" x14ac:dyDescent="0.35">
      <c r="B2" s="1" t="s">
        <v>41</v>
      </c>
      <c r="C2" s="5">
        <v>1000000</v>
      </c>
      <c r="D2" s="3" t="s">
        <v>3</v>
      </c>
    </row>
    <row r="3" spans="2:4" x14ac:dyDescent="0.35">
      <c r="B3" s="1" t="s">
        <v>366</v>
      </c>
      <c r="C3" s="206">
        <v>0.4</v>
      </c>
      <c r="D3" s="3" t="s">
        <v>4</v>
      </c>
    </row>
    <row r="4" spans="2:4" x14ac:dyDescent="0.35">
      <c r="B4" s="1" t="s">
        <v>374</v>
      </c>
      <c r="C4" s="208">
        <v>0.9</v>
      </c>
      <c r="D4" s="3" t="s">
        <v>5</v>
      </c>
    </row>
    <row r="5" spans="2:4" x14ac:dyDescent="0.35">
      <c r="B5" s="1" t="s">
        <v>373</v>
      </c>
      <c r="C5" s="208">
        <v>0.95</v>
      </c>
      <c r="D5" s="3" t="s">
        <v>6</v>
      </c>
    </row>
    <row r="6" spans="2:4" x14ac:dyDescent="0.35">
      <c r="B6" s="1" t="s">
        <v>34</v>
      </c>
      <c r="C6" s="8">
        <v>2080</v>
      </c>
      <c r="D6" s="3" t="s">
        <v>9</v>
      </c>
    </row>
    <row r="7" spans="2:4" x14ac:dyDescent="0.35">
      <c r="B7" s="1" t="s">
        <v>370</v>
      </c>
      <c r="C7" s="8">
        <v>20</v>
      </c>
      <c r="D7" s="3" t="s">
        <v>10</v>
      </c>
    </row>
    <row r="8" spans="2:4" x14ac:dyDescent="0.35">
      <c r="B8" s="1" t="s">
        <v>1</v>
      </c>
      <c r="C8" s="2">
        <v>15</v>
      </c>
      <c r="D8" s="3" t="s">
        <v>32</v>
      </c>
    </row>
    <row r="9" spans="2:4" x14ac:dyDescent="0.35">
      <c r="B9" s="1" t="s">
        <v>367</v>
      </c>
      <c r="C9" s="2">
        <f>C7*C6*C8*(C5-C4)</f>
        <v>31199.99999999996</v>
      </c>
      <c r="D9" s="3" t="s">
        <v>386</v>
      </c>
    </row>
    <row r="10" spans="2:4" x14ac:dyDescent="0.35">
      <c r="B10" s="1" t="s">
        <v>368</v>
      </c>
      <c r="C10" s="211">
        <f>C2*C3*(C5-C4)</f>
        <v>19999.999999999975</v>
      </c>
      <c r="D10" s="3" t="s">
        <v>371</v>
      </c>
    </row>
    <row r="11" spans="2:4" x14ac:dyDescent="0.35">
      <c r="B11" s="1" t="s">
        <v>369</v>
      </c>
      <c r="C11" s="2">
        <f>SUM(C9:C10)</f>
        <v>51199.999999999935</v>
      </c>
      <c r="D11" s="1"/>
    </row>
    <row r="13" spans="2:4" x14ac:dyDescent="0.35">
      <c r="B13" t="s">
        <v>48</v>
      </c>
      <c r="C13" s="17">
        <f>C6*(C5-C4)</f>
        <v>103.99999999999986</v>
      </c>
    </row>
    <row r="14" spans="2:4" x14ac:dyDescent="0.35">
      <c r="C14" s="169"/>
    </row>
    <row r="17" spans="1:18" ht="24" thickBot="1" x14ac:dyDescent="0.6">
      <c r="B17" s="89" t="s">
        <v>292</v>
      </c>
    </row>
    <row r="18" spans="1:18" ht="18" x14ac:dyDescent="0.4">
      <c r="A18" s="136"/>
      <c r="B18" s="136"/>
      <c r="C18" s="223">
        <v>5</v>
      </c>
      <c r="D18" s="224"/>
      <c r="E18" s="224"/>
      <c r="F18" s="224"/>
      <c r="G18" s="224">
        <v>10</v>
      </c>
      <c r="H18" s="224"/>
      <c r="I18" s="224"/>
      <c r="J18" s="224"/>
      <c r="K18" s="224">
        <v>15</v>
      </c>
      <c r="L18" s="224"/>
      <c r="M18" s="224"/>
      <c r="N18" s="224"/>
      <c r="O18" s="224">
        <v>20</v>
      </c>
      <c r="P18" s="224"/>
      <c r="Q18" s="224"/>
      <c r="R18" s="224"/>
    </row>
    <row r="19" spans="1:18" s="148" customFormat="1" ht="35.5" x14ac:dyDescent="0.35">
      <c r="A19" s="137"/>
      <c r="B19" s="137"/>
      <c r="C19" s="138" t="s">
        <v>217</v>
      </c>
      <c r="D19" s="139" t="s">
        <v>218</v>
      </c>
      <c r="E19" s="139" t="s">
        <v>219</v>
      </c>
      <c r="F19" s="140" t="s">
        <v>220</v>
      </c>
      <c r="G19" s="141" t="s">
        <v>221</v>
      </c>
      <c r="H19" s="139" t="s">
        <v>218</v>
      </c>
      <c r="I19" s="139" t="s">
        <v>219</v>
      </c>
      <c r="J19" s="140" t="s">
        <v>220</v>
      </c>
      <c r="K19" s="141" t="s">
        <v>222</v>
      </c>
      <c r="L19" s="139" t="s">
        <v>218</v>
      </c>
      <c r="M19" s="139" t="s">
        <v>219</v>
      </c>
      <c r="N19" s="140" t="s">
        <v>220</v>
      </c>
      <c r="O19" s="141" t="s">
        <v>211</v>
      </c>
      <c r="P19" s="139" t="s">
        <v>218</v>
      </c>
      <c r="Q19" s="139" t="s">
        <v>219</v>
      </c>
      <c r="R19" s="140" t="s">
        <v>220</v>
      </c>
    </row>
    <row r="20" spans="1:18" s="148" customFormat="1" ht="43.5" x14ac:dyDescent="0.35">
      <c r="A20" s="149"/>
      <c r="B20" s="149"/>
      <c r="C20" s="150" t="s">
        <v>223</v>
      </c>
      <c r="D20" s="225">
        <v>1</v>
      </c>
      <c r="E20" s="226"/>
      <c r="F20" s="226"/>
      <c r="G20" s="151" t="s">
        <v>223</v>
      </c>
      <c r="H20" s="225">
        <v>1</v>
      </c>
      <c r="I20" s="226"/>
      <c r="J20" s="226"/>
      <c r="K20" s="151" t="s">
        <v>223</v>
      </c>
      <c r="L20" s="225">
        <v>0.32</v>
      </c>
      <c r="M20" s="226"/>
      <c r="N20" s="226"/>
      <c r="O20" s="151" t="s">
        <v>223</v>
      </c>
      <c r="P20" s="225">
        <v>0.11</v>
      </c>
      <c r="Q20" s="226"/>
      <c r="R20" s="226"/>
    </row>
    <row r="21" spans="1:18" s="148" customFormat="1" ht="29" x14ac:dyDescent="0.35">
      <c r="A21" s="149"/>
      <c r="B21" s="149"/>
      <c r="C21" s="152" t="s">
        <v>224</v>
      </c>
      <c r="D21" s="225" t="s">
        <v>225</v>
      </c>
      <c r="E21" s="225"/>
      <c r="F21" s="225"/>
      <c r="G21" s="153" t="s">
        <v>224</v>
      </c>
      <c r="H21" s="225" t="s">
        <v>225</v>
      </c>
      <c r="I21" s="225"/>
      <c r="J21" s="225"/>
      <c r="K21" s="153" t="s">
        <v>224</v>
      </c>
      <c r="L21" s="225" t="s">
        <v>226</v>
      </c>
      <c r="M21" s="225"/>
      <c r="N21" s="225"/>
      <c r="O21" s="153" t="s">
        <v>224</v>
      </c>
      <c r="P21" s="225" t="s">
        <v>225</v>
      </c>
      <c r="Q21" s="225"/>
      <c r="R21" s="225"/>
    </row>
    <row r="22" spans="1:18" s="148" customFormat="1" ht="43.5" x14ac:dyDescent="0.35">
      <c r="A22" s="154"/>
      <c r="B22" s="154"/>
      <c r="C22" s="143" t="s">
        <v>227</v>
      </c>
      <c r="D22" s="227" t="s">
        <v>228</v>
      </c>
      <c r="E22" s="227"/>
      <c r="F22" s="227"/>
      <c r="G22" s="144" t="s">
        <v>227</v>
      </c>
      <c r="H22" s="227" t="s">
        <v>229</v>
      </c>
      <c r="I22" s="227"/>
      <c r="J22" s="227"/>
      <c r="K22" s="144" t="s">
        <v>227</v>
      </c>
      <c r="L22" s="227" t="s">
        <v>230</v>
      </c>
      <c r="M22" s="227"/>
      <c r="N22" s="227"/>
      <c r="O22" s="144" t="s">
        <v>227</v>
      </c>
      <c r="P22" s="226" t="s">
        <v>231</v>
      </c>
      <c r="Q22" s="226"/>
      <c r="R22" s="226"/>
    </row>
    <row r="23" spans="1:18" s="148" customFormat="1" ht="58" x14ac:dyDescent="0.35">
      <c r="A23" s="154"/>
      <c r="B23" s="154"/>
      <c r="C23" s="143" t="s">
        <v>232</v>
      </c>
      <c r="D23" s="228">
        <v>1</v>
      </c>
      <c r="E23" s="227"/>
      <c r="F23" s="227"/>
      <c r="G23" s="144" t="s">
        <v>232</v>
      </c>
      <c r="H23" s="228" t="s">
        <v>233</v>
      </c>
      <c r="I23" s="227"/>
      <c r="J23" s="227"/>
      <c r="K23" s="144" t="s">
        <v>232</v>
      </c>
      <c r="L23" s="228">
        <v>1</v>
      </c>
      <c r="M23" s="227"/>
      <c r="N23" s="227"/>
      <c r="O23" s="144" t="s">
        <v>232</v>
      </c>
      <c r="P23" s="229">
        <v>1</v>
      </c>
      <c r="Q23" s="226"/>
      <c r="R23" s="226"/>
    </row>
    <row r="24" spans="1:18" s="148" customFormat="1" ht="29" x14ac:dyDescent="0.35">
      <c r="A24" s="154"/>
      <c r="B24" s="154"/>
      <c r="C24" s="143" t="s">
        <v>234</v>
      </c>
      <c r="D24" s="227" t="s">
        <v>235</v>
      </c>
      <c r="E24" s="227"/>
      <c r="F24" s="227"/>
      <c r="G24" s="144" t="s">
        <v>234</v>
      </c>
      <c r="H24" s="227" t="s">
        <v>236</v>
      </c>
      <c r="I24" s="227"/>
      <c r="J24" s="227"/>
      <c r="K24" s="144" t="s">
        <v>234</v>
      </c>
      <c r="L24" s="227" t="s">
        <v>237</v>
      </c>
      <c r="M24" s="227"/>
      <c r="N24" s="227"/>
      <c r="O24" s="144" t="s">
        <v>234</v>
      </c>
      <c r="P24" s="226" t="s">
        <v>238</v>
      </c>
      <c r="Q24" s="226"/>
      <c r="R24" s="226"/>
    </row>
    <row r="25" spans="1:18" s="148" customFormat="1" ht="29" x14ac:dyDescent="0.35">
      <c r="A25" s="154"/>
      <c r="B25" s="154"/>
      <c r="C25" s="143" t="s">
        <v>239</v>
      </c>
      <c r="D25" s="227" t="s">
        <v>240</v>
      </c>
      <c r="E25" s="227"/>
      <c r="F25" s="227"/>
      <c r="G25" s="144" t="s">
        <v>239</v>
      </c>
      <c r="H25" s="227" t="s">
        <v>241</v>
      </c>
      <c r="I25" s="227"/>
      <c r="J25" s="227"/>
      <c r="K25" s="144" t="s">
        <v>239</v>
      </c>
      <c r="L25" s="227" t="s">
        <v>242</v>
      </c>
      <c r="M25" s="227"/>
      <c r="N25" s="227"/>
      <c r="O25" s="144" t="s">
        <v>239</v>
      </c>
      <c r="P25" s="226" t="s">
        <v>243</v>
      </c>
      <c r="Q25" s="226"/>
      <c r="R25" s="226"/>
    </row>
    <row r="26" spans="1:18" s="148" customFormat="1" ht="29" x14ac:dyDescent="0.35">
      <c r="A26" s="154"/>
      <c r="B26" s="154"/>
      <c r="C26" s="143" t="s">
        <v>244</v>
      </c>
      <c r="D26" s="227" t="s">
        <v>245</v>
      </c>
      <c r="E26" s="227"/>
      <c r="F26" s="227"/>
      <c r="G26" s="144" t="s">
        <v>244</v>
      </c>
      <c r="H26" s="227" t="s">
        <v>246</v>
      </c>
      <c r="I26" s="227"/>
      <c r="J26" s="227"/>
      <c r="K26" s="144" t="s">
        <v>244</v>
      </c>
      <c r="L26" s="227" t="s">
        <v>247</v>
      </c>
      <c r="M26" s="227"/>
      <c r="N26" s="227"/>
      <c r="O26" s="144" t="s">
        <v>244</v>
      </c>
      <c r="P26" s="226" t="s">
        <v>247</v>
      </c>
      <c r="Q26" s="226"/>
      <c r="R26" s="226"/>
    </row>
    <row r="27" spans="1:18" s="148" customFormat="1" ht="29" x14ac:dyDescent="0.35">
      <c r="A27" s="154"/>
      <c r="B27" s="154"/>
      <c r="C27" s="143" t="s">
        <v>248</v>
      </c>
      <c r="D27" s="227" t="s">
        <v>249</v>
      </c>
      <c r="E27" s="227"/>
      <c r="F27" s="227"/>
      <c r="G27" s="144" t="s">
        <v>248</v>
      </c>
      <c r="H27" s="227" t="s">
        <v>250</v>
      </c>
      <c r="I27" s="227"/>
      <c r="J27" s="227"/>
      <c r="K27" s="144" t="s">
        <v>248</v>
      </c>
      <c r="L27" s="227" t="s">
        <v>251</v>
      </c>
      <c r="M27" s="227"/>
      <c r="N27" s="227"/>
      <c r="O27" s="144" t="s">
        <v>248</v>
      </c>
      <c r="P27" s="226" t="s">
        <v>252</v>
      </c>
      <c r="Q27" s="226"/>
      <c r="R27" s="226"/>
    </row>
    <row r="28" spans="1:18" s="148" customFormat="1" ht="56.5" customHeight="1" x14ac:dyDescent="0.6">
      <c r="A28" s="145" t="s">
        <v>253</v>
      </c>
      <c r="B28" s="155">
        <f>D28*H28*L28*P28</f>
        <v>0.92227211999999992</v>
      </c>
      <c r="C28" s="143" t="s">
        <v>254</v>
      </c>
      <c r="D28" s="230">
        <v>0.98</v>
      </c>
      <c r="E28" s="231"/>
      <c r="F28" s="231"/>
      <c r="G28" s="144" t="s">
        <v>254</v>
      </c>
      <c r="H28" s="230">
        <v>0.97</v>
      </c>
      <c r="I28" s="231"/>
      <c r="J28" s="231"/>
      <c r="K28" s="144" t="s">
        <v>254</v>
      </c>
      <c r="L28" s="230">
        <v>0.99</v>
      </c>
      <c r="M28" s="231"/>
      <c r="N28" s="231"/>
      <c r="O28" s="144" t="s">
        <v>254</v>
      </c>
      <c r="P28" s="232">
        <v>0.98</v>
      </c>
      <c r="Q28" s="233"/>
      <c r="R28" s="233"/>
    </row>
    <row r="29" spans="1:18" s="148" customFormat="1" ht="29.5" thickBot="1" x14ac:dyDescent="0.4">
      <c r="A29" s="149"/>
      <c r="B29" s="149"/>
      <c r="C29" s="156" t="s">
        <v>255</v>
      </c>
      <c r="D29" s="234">
        <v>190</v>
      </c>
      <c r="E29" s="234"/>
      <c r="F29" s="234"/>
      <c r="G29" s="157" t="s">
        <v>255</v>
      </c>
      <c r="H29" s="234">
        <v>60</v>
      </c>
      <c r="I29" s="234"/>
      <c r="J29" s="234"/>
      <c r="K29" s="157" t="s">
        <v>255</v>
      </c>
      <c r="L29" s="234">
        <v>300</v>
      </c>
      <c r="M29" s="234"/>
      <c r="N29" s="234"/>
      <c r="O29" s="157" t="s">
        <v>255</v>
      </c>
      <c r="P29" s="234">
        <v>50</v>
      </c>
      <c r="Q29" s="234"/>
      <c r="R29" s="234"/>
    </row>
    <row r="30" spans="1:18" x14ac:dyDescent="0.35">
      <c r="A30" s="142"/>
      <c r="B30" s="142"/>
      <c r="C30" s="53"/>
      <c r="D30" s="53"/>
      <c r="E30" s="53"/>
      <c r="F30" s="146"/>
      <c r="G30" s="53"/>
      <c r="H30" s="53"/>
      <c r="I30" s="53"/>
      <c r="J30" s="146"/>
      <c r="K30" s="53"/>
      <c r="L30" s="53"/>
      <c r="M30" s="53"/>
      <c r="N30" s="146"/>
      <c r="O30" s="53"/>
      <c r="P30" s="53"/>
      <c r="Q30" s="53"/>
      <c r="R30" s="146"/>
    </row>
    <row r="31" spans="1:18" x14ac:dyDescent="0.35">
      <c r="A31" s="142"/>
      <c r="B31" s="142"/>
      <c r="C31" s="147" t="s">
        <v>256</v>
      </c>
      <c r="D31" s="53"/>
      <c r="E31" s="53"/>
      <c r="F31" s="146"/>
      <c r="G31" s="147" t="s">
        <v>256</v>
      </c>
      <c r="H31" s="53"/>
      <c r="I31" s="53"/>
      <c r="J31" s="146"/>
      <c r="K31" s="147" t="s">
        <v>256</v>
      </c>
      <c r="L31" s="53"/>
      <c r="M31" s="53"/>
      <c r="N31" s="146"/>
      <c r="O31" s="147" t="s">
        <v>256</v>
      </c>
      <c r="P31" s="53"/>
      <c r="Q31" s="53"/>
      <c r="R31" s="146"/>
    </row>
    <row r="32" spans="1:18" x14ac:dyDescent="0.35">
      <c r="A32" s="142"/>
      <c r="B32" s="142"/>
      <c r="C32" s="53" t="s">
        <v>257</v>
      </c>
      <c r="D32" s="53"/>
      <c r="E32" s="53"/>
      <c r="F32" s="146"/>
      <c r="G32" s="53" t="s">
        <v>258</v>
      </c>
      <c r="H32" s="53"/>
      <c r="I32" s="53"/>
      <c r="J32" s="146"/>
      <c r="K32" s="53" t="s">
        <v>259</v>
      </c>
      <c r="L32" s="53"/>
      <c r="M32" s="53"/>
      <c r="N32" s="146"/>
      <c r="O32" s="53"/>
      <c r="P32" s="53"/>
      <c r="Q32" s="53"/>
      <c r="R32" s="146"/>
    </row>
    <row r="33" spans="1:18" x14ac:dyDescent="0.35">
      <c r="A33" s="142"/>
      <c r="B33" s="142"/>
      <c r="C33" s="53" t="s">
        <v>260</v>
      </c>
      <c r="D33" s="53"/>
      <c r="E33" s="53"/>
      <c r="F33" s="146"/>
      <c r="G33" s="53" t="s">
        <v>261</v>
      </c>
      <c r="H33" s="53"/>
      <c r="I33" s="53"/>
      <c r="J33" s="146"/>
      <c r="K33" s="53" t="s">
        <v>262</v>
      </c>
      <c r="L33" s="53"/>
      <c r="M33" s="53"/>
      <c r="N33" s="146"/>
      <c r="O33" s="53"/>
      <c r="P33" s="53"/>
      <c r="Q33" s="53"/>
      <c r="R33" s="146"/>
    </row>
    <row r="34" spans="1:18" x14ac:dyDescent="0.35">
      <c r="A34" s="142"/>
      <c r="B34" s="142"/>
      <c r="C34" s="53" t="s">
        <v>263</v>
      </c>
      <c r="D34" s="53"/>
      <c r="E34" s="53"/>
      <c r="F34" s="146"/>
      <c r="G34" s="53" t="s">
        <v>264</v>
      </c>
      <c r="H34" s="53"/>
      <c r="I34" s="53"/>
      <c r="J34" s="146"/>
      <c r="K34" s="53" t="s">
        <v>265</v>
      </c>
      <c r="L34" s="53"/>
      <c r="M34" s="53"/>
      <c r="N34" s="146"/>
      <c r="O34" s="53"/>
      <c r="P34" s="53"/>
      <c r="Q34" s="53"/>
      <c r="R34" s="146"/>
    </row>
    <row r="35" spans="1:18" x14ac:dyDescent="0.35">
      <c r="A35" s="142"/>
      <c r="B35" s="142"/>
      <c r="C35" s="53" t="s">
        <v>266</v>
      </c>
      <c r="D35" s="53"/>
      <c r="E35" s="53"/>
      <c r="F35" s="146"/>
      <c r="G35" s="53" t="s">
        <v>267</v>
      </c>
      <c r="H35" s="53"/>
      <c r="I35" s="53"/>
      <c r="J35" s="146"/>
      <c r="K35" s="53" t="s">
        <v>268</v>
      </c>
      <c r="L35" s="53"/>
      <c r="M35" s="53"/>
      <c r="N35" s="146"/>
      <c r="O35" s="53"/>
      <c r="P35" s="53"/>
      <c r="Q35" s="53"/>
      <c r="R35" s="146"/>
    </row>
    <row r="36" spans="1:18" x14ac:dyDescent="0.35">
      <c r="A36" s="142"/>
      <c r="B36" s="142"/>
      <c r="C36" s="53" t="s">
        <v>269</v>
      </c>
      <c r="D36" s="53"/>
      <c r="E36" s="53"/>
      <c r="F36" s="146"/>
      <c r="G36" s="53" t="s">
        <v>270</v>
      </c>
      <c r="H36" s="53"/>
      <c r="I36" s="53"/>
      <c r="J36" s="146"/>
      <c r="K36" s="53" t="s">
        <v>271</v>
      </c>
      <c r="L36" s="53"/>
      <c r="M36" s="53"/>
      <c r="N36" s="146"/>
      <c r="O36" s="53"/>
      <c r="P36" s="53"/>
      <c r="Q36" s="53"/>
      <c r="R36" s="146"/>
    </row>
    <row r="37" spans="1:18" x14ac:dyDescent="0.35">
      <c r="A37" s="142"/>
      <c r="B37" s="142"/>
      <c r="C37" s="53" t="s">
        <v>272</v>
      </c>
      <c r="D37" s="53"/>
      <c r="E37" s="53"/>
      <c r="F37" s="146"/>
      <c r="G37" s="53"/>
      <c r="H37" s="53"/>
      <c r="I37" s="53"/>
      <c r="J37" s="146"/>
      <c r="K37" s="53" t="s">
        <v>273</v>
      </c>
      <c r="L37" s="53"/>
      <c r="M37" s="53"/>
      <c r="N37" s="146"/>
      <c r="O37" s="53"/>
      <c r="P37" s="53"/>
      <c r="Q37" s="53"/>
      <c r="R37" s="146"/>
    </row>
    <row r="38" spans="1:18" x14ac:dyDescent="0.35">
      <c r="A38" s="142"/>
      <c r="B38" s="142"/>
      <c r="C38" s="53" t="s">
        <v>274</v>
      </c>
      <c r="D38" s="53"/>
      <c r="E38" s="53"/>
      <c r="F38" s="146"/>
      <c r="G38" s="53"/>
      <c r="H38" s="53"/>
      <c r="I38" s="53"/>
      <c r="J38" s="146"/>
      <c r="K38" s="53" t="s">
        <v>275</v>
      </c>
      <c r="L38" s="53"/>
      <c r="M38" s="53"/>
      <c r="N38" s="146"/>
      <c r="O38" s="53"/>
      <c r="P38" s="53"/>
      <c r="Q38" s="53"/>
      <c r="R38" s="146"/>
    </row>
    <row r="39" spans="1:18" x14ac:dyDescent="0.35">
      <c r="A39" s="142"/>
      <c r="B39" s="142"/>
      <c r="C39" s="53" t="s">
        <v>276</v>
      </c>
      <c r="D39" s="53"/>
      <c r="E39" s="53"/>
      <c r="F39" s="146"/>
      <c r="G39" s="53"/>
      <c r="H39" s="53"/>
      <c r="I39" s="53"/>
      <c r="J39" s="146"/>
      <c r="K39" s="53" t="s">
        <v>277</v>
      </c>
      <c r="L39" s="53"/>
      <c r="M39" s="53"/>
      <c r="N39" s="146"/>
      <c r="O39" s="53"/>
      <c r="P39" s="53"/>
      <c r="Q39" s="53"/>
      <c r="R39" s="146"/>
    </row>
    <row r="40" spans="1:18" x14ac:dyDescent="0.35">
      <c r="A40" s="142"/>
      <c r="B40" s="142"/>
      <c r="C40" s="53" t="s">
        <v>278</v>
      </c>
      <c r="D40" s="53"/>
      <c r="E40" s="53"/>
      <c r="F40" s="146"/>
      <c r="G40" s="53"/>
      <c r="H40" s="53"/>
      <c r="I40" s="53"/>
      <c r="J40" s="146"/>
      <c r="K40" s="53" t="s">
        <v>279</v>
      </c>
      <c r="L40" s="53"/>
      <c r="M40" s="53"/>
      <c r="N40" s="146"/>
      <c r="O40" s="53"/>
      <c r="P40" s="53"/>
      <c r="Q40" s="53"/>
      <c r="R40" s="146"/>
    </row>
    <row r="41" spans="1:18" x14ac:dyDescent="0.35">
      <c r="A41" s="142"/>
      <c r="B41" s="142"/>
      <c r="C41" s="53" t="s">
        <v>280</v>
      </c>
      <c r="D41" s="53"/>
      <c r="E41" s="53"/>
      <c r="F41" s="146"/>
      <c r="G41" s="53"/>
      <c r="H41" s="53"/>
      <c r="I41" s="53"/>
      <c r="J41" s="146"/>
      <c r="K41" s="53" t="s">
        <v>281</v>
      </c>
      <c r="L41" s="53"/>
      <c r="M41" s="53"/>
      <c r="N41" s="146"/>
      <c r="O41" s="53"/>
      <c r="P41" s="53"/>
      <c r="Q41" s="53"/>
      <c r="R41" s="146"/>
    </row>
    <row r="42" spans="1:18" x14ac:dyDescent="0.35">
      <c r="A42" s="142"/>
      <c r="B42" s="142"/>
      <c r="C42" s="53" t="s">
        <v>282</v>
      </c>
      <c r="D42" s="53"/>
      <c r="E42" s="53"/>
      <c r="F42" s="146"/>
      <c r="G42" s="53"/>
      <c r="H42" s="53"/>
      <c r="I42" s="53"/>
      <c r="J42" s="146"/>
      <c r="K42" s="53" t="s">
        <v>283</v>
      </c>
      <c r="L42" s="53"/>
      <c r="M42" s="53"/>
      <c r="N42" s="146"/>
      <c r="O42" s="53"/>
      <c r="P42" s="53"/>
      <c r="Q42" s="53"/>
      <c r="R42" s="146"/>
    </row>
    <row r="43" spans="1:18" x14ac:dyDescent="0.35">
      <c r="A43" s="142"/>
      <c r="B43" s="142"/>
      <c r="C43" s="53" t="s">
        <v>284</v>
      </c>
      <c r="D43" s="53"/>
      <c r="E43" s="53"/>
      <c r="F43" s="146"/>
      <c r="G43" s="53"/>
      <c r="H43" s="53"/>
      <c r="I43" s="53"/>
      <c r="J43" s="146"/>
      <c r="K43" s="53" t="s">
        <v>285</v>
      </c>
      <c r="L43" s="53"/>
      <c r="M43" s="53"/>
      <c r="N43" s="146"/>
      <c r="O43" s="53"/>
      <c r="P43" s="53"/>
      <c r="Q43" s="53"/>
      <c r="R43" s="146"/>
    </row>
    <row r="44" spans="1:18" x14ac:dyDescent="0.35">
      <c r="A44" s="142"/>
      <c r="B44" s="142"/>
      <c r="C44" s="53" t="s">
        <v>286</v>
      </c>
      <c r="D44" s="53"/>
      <c r="E44" s="53"/>
      <c r="F44" s="146"/>
      <c r="G44" s="53"/>
      <c r="H44" s="53"/>
      <c r="I44" s="53"/>
      <c r="J44" s="146"/>
      <c r="K44" s="53" t="s">
        <v>287</v>
      </c>
      <c r="L44" s="53"/>
      <c r="M44" s="53"/>
      <c r="N44" s="146"/>
      <c r="O44" s="53"/>
      <c r="P44" s="53"/>
      <c r="Q44" s="53"/>
      <c r="R44" s="146"/>
    </row>
    <row r="45" spans="1:18" x14ac:dyDescent="0.35">
      <c r="A45" s="142"/>
      <c r="B45" s="142"/>
      <c r="C45" s="53" t="s">
        <v>288</v>
      </c>
      <c r="D45" s="53"/>
      <c r="E45" s="53"/>
      <c r="F45" s="146"/>
      <c r="G45" s="53"/>
      <c r="H45" s="53"/>
      <c r="I45" s="53"/>
      <c r="J45" s="146"/>
      <c r="K45" s="53" t="s">
        <v>289</v>
      </c>
      <c r="L45" s="53"/>
      <c r="M45" s="53"/>
      <c r="N45" s="146"/>
      <c r="O45" s="53"/>
      <c r="P45" s="53"/>
      <c r="Q45" s="53"/>
      <c r="R45" s="146"/>
    </row>
    <row r="46" spans="1:18" x14ac:dyDescent="0.35">
      <c r="A46" s="142"/>
      <c r="B46" s="142"/>
      <c r="C46" s="53"/>
      <c r="D46" s="53"/>
      <c r="E46" s="53"/>
      <c r="F46" s="146"/>
      <c r="G46" s="53"/>
      <c r="H46" s="53"/>
      <c r="I46" s="53"/>
      <c r="J46" s="146"/>
      <c r="K46" s="53" t="s">
        <v>290</v>
      </c>
      <c r="L46" s="53"/>
      <c r="M46" s="53"/>
      <c r="N46" s="146"/>
      <c r="O46" s="53"/>
      <c r="P46" s="53"/>
      <c r="Q46" s="53"/>
      <c r="R46" s="146"/>
    </row>
    <row r="47" spans="1:18" x14ac:dyDescent="0.35">
      <c r="A47" s="142"/>
      <c r="B47" s="142"/>
      <c r="C47" s="53"/>
      <c r="D47" s="53"/>
      <c r="E47" s="53"/>
      <c r="F47" s="146"/>
      <c r="G47" s="53"/>
      <c r="H47" s="53"/>
      <c r="I47" s="53"/>
      <c r="J47" s="146"/>
      <c r="K47" s="53" t="s">
        <v>291</v>
      </c>
      <c r="L47" s="53"/>
      <c r="M47" s="53"/>
      <c r="N47" s="146"/>
      <c r="O47" s="53"/>
      <c r="P47" s="53"/>
      <c r="Q47" s="53"/>
      <c r="R47" s="146"/>
    </row>
  </sheetData>
  <mergeCells count="45">
    <mergeCell ref="D28:F28"/>
    <mergeCell ref="H28:J28"/>
    <mergeCell ref="L28:N28"/>
    <mergeCell ref="P28:R28"/>
    <mergeCell ref="D29:F29"/>
    <mergeCell ref="H29:J29"/>
    <mergeCell ref="L29:N29"/>
    <mergeCell ref="P29:R29"/>
    <mergeCell ref="D26:F26"/>
    <mergeCell ref="H26:J26"/>
    <mergeCell ref="L26:N26"/>
    <mergeCell ref="P26:R26"/>
    <mergeCell ref="D27:F27"/>
    <mergeCell ref="H27:J27"/>
    <mergeCell ref="L27:N27"/>
    <mergeCell ref="P27:R27"/>
    <mergeCell ref="D24:F24"/>
    <mergeCell ref="H24:J24"/>
    <mergeCell ref="L24:N24"/>
    <mergeCell ref="P24:R24"/>
    <mergeCell ref="D25:F25"/>
    <mergeCell ref="H25:J25"/>
    <mergeCell ref="L25:N25"/>
    <mergeCell ref="P25:R25"/>
    <mergeCell ref="D22:F22"/>
    <mergeCell ref="H22:J22"/>
    <mergeCell ref="L22:N22"/>
    <mergeCell ref="P22:R22"/>
    <mergeCell ref="D23:F23"/>
    <mergeCell ref="H23:J23"/>
    <mergeCell ref="L23:N23"/>
    <mergeCell ref="P23:R23"/>
    <mergeCell ref="D20:F20"/>
    <mergeCell ref="H20:J20"/>
    <mergeCell ref="L20:N20"/>
    <mergeCell ref="P20:R20"/>
    <mergeCell ref="D21:F21"/>
    <mergeCell ref="H21:J21"/>
    <mergeCell ref="L21:N21"/>
    <mergeCell ref="P21:R21"/>
    <mergeCell ref="B1:D1"/>
    <mergeCell ref="C18:F18"/>
    <mergeCell ref="G18:J18"/>
    <mergeCell ref="K18:N18"/>
    <mergeCell ref="O18:R1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workbookViewId="0">
      <selection activeCell="D13" sqref="D13"/>
    </sheetView>
  </sheetViews>
  <sheetFormatPr defaultRowHeight="14.5" x14ac:dyDescent="0.35"/>
  <cols>
    <col min="2" max="2" width="38.6328125" customWidth="1"/>
    <col min="3" max="3" width="12.36328125" customWidth="1"/>
    <col min="4" max="4" width="17.81640625" customWidth="1"/>
  </cols>
  <sheetData>
    <row r="1" spans="2:4" ht="21" x14ac:dyDescent="0.5">
      <c r="B1" s="213" t="s">
        <v>51</v>
      </c>
      <c r="C1" s="213"/>
      <c r="D1" s="213"/>
    </row>
    <row r="2" spans="2:4" x14ac:dyDescent="0.35">
      <c r="B2" s="1" t="s">
        <v>11</v>
      </c>
      <c r="C2" s="1">
        <v>20</v>
      </c>
      <c r="D2" s="3" t="s">
        <v>3</v>
      </c>
    </row>
    <row r="3" spans="2:4" x14ac:dyDescent="0.35">
      <c r="B3" s="1" t="s">
        <v>12</v>
      </c>
      <c r="C3" s="1">
        <v>15</v>
      </c>
      <c r="D3" s="3" t="s">
        <v>4</v>
      </c>
    </row>
    <row r="4" spans="2:4" x14ac:dyDescent="0.35">
      <c r="B4" s="1" t="s">
        <v>16</v>
      </c>
      <c r="C4" s="1">
        <v>250</v>
      </c>
      <c r="D4" s="3" t="s">
        <v>5</v>
      </c>
    </row>
    <row r="5" spans="2:4" x14ac:dyDescent="0.35">
      <c r="B5" s="1" t="s">
        <v>13</v>
      </c>
      <c r="C5" s="1">
        <v>2</v>
      </c>
      <c r="D5" s="3" t="s">
        <v>6</v>
      </c>
    </row>
    <row r="6" spans="2:4" x14ac:dyDescent="0.35">
      <c r="B6" s="1" t="s">
        <v>14</v>
      </c>
      <c r="C6" s="1">
        <v>4</v>
      </c>
      <c r="D6" s="3" t="s">
        <v>9</v>
      </c>
    </row>
    <row r="7" spans="2:4" x14ac:dyDescent="0.35">
      <c r="B7" s="1" t="s">
        <v>15</v>
      </c>
      <c r="C7" s="1">
        <v>10</v>
      </c>
      <c r="D7" s="3" t="s">
        <v>10</v>
      </c>
    </row>
    <row r="8" spans="2:4" x14ac:dyDescent="0.35">
      <c r="B8" s="1" t="s">
        <v>361</v>
      </c>
      <c r="C8" s="5">
        <f>C2*C3*C4*((C6-C5)*(C7/60))</f>
        <v>25000</v>
      </c>
      <c r="D8" s="1" t="s">
        <v>17</v>
      </c>
    </row>
    <row r="10" spans="2:4" x14ac:dyDescent="0.35">
      <c r="B10" t="s">
        <v>364</v>
      </c>
      <c r="C10" s="17">
        <f>C7*2*C4/60</f>
        <v>83.333333333333329</v>
      </c>
    </row>
    <row r="19" spans="2:10" ht="24" thickBot="1" x14ac:dyDescent="0.6">
      <c r="B19" s="89" t="s">
        <v>174</v>
      </c>
    </row>
    <row r="20" spans="2:10" ht="15" thickBot="1" x14ac:dyDescent="0.4">
      <c r="B20" s="235" t="s">
        <v>133</v>
      </c>
      <c r="C20" s="236"/>
      <c r="D20" s="236"/>
      <c r="E20" s="236"/>
      <c r="F20" s="236"/>
      <c r="G20" s="236"/>
      <c r="H20" s="236"/>
      <c r="I20" s="236"/>
      <c r="J20" s="237"/>
    </row>
    <row r="21" spans="2:10" ht="15" thickBot="1" x14ac:dyDescent="0.4">
      <c r="B21" s="73" t="s">
        <v>134</v>
      </c>
      <c r="C21" s="235" t="s">
        <v>135</v>
      </c>
      <c r="D21" s="236"/>
      <c r="E21" s="236"/>
      <c r="F21" s="236"/>
      <c r="G21" s="236"/>
      <c r="H21" s="237"/>
      <c r="I21" s="74" t="s">
        <v>136</v>
      </c>
      <c r="J21" s="74" t="s">
        <v>136</v>
      </c>
    </row>
    <row r="22" spans="2:10" ht="18.5" thickBot="1" x14ac:dyDescent="0.45">
      <c r="B22" s="75" t="s">
        <v>137</v>
      </c>
      <c r="C22" s="238" t="s">
        <v>138</v>
      </c>
      <c r="D22" s="239"/>
      <c r="E22" s="239"/>
      <c r="F22" s="239"/>
      <c r="G22" s="239"/>
      <c r="H22" s="240"/>
      <c r="I22" s="76"/>
      <c r="J22" s="77"/>
    </row>
    <row r="23" spans="2:10" ht="15" thickBot="1" x14ac:dyDescent="0.4">
      <c r="B23" s="78"/>
      <c r="C23" s="241" t="s">
        <v>139</v>
      </c>
      <c r="D23" s="242"/>
      <c r="E23" s="242"/>
      <c r="F23" s="242"/>
      <c r="G23" s="242"/>
      <c r="H23" s="242"/>
      <c r="I23" s="79">
        <v>0</v>
      </c>
      <c r="J23" s="243">
        <f>SUM(I23:I27)</f>
        <v>2</v>
      </c>
    </row>
    <row r="24" spans="2:10" ht="15" thickBot="1" x14ac:dyDescent="0.4">
      <c r="B24" s="78"/>
      <c r="C24" s="246" t="s">
        <v>140</v>
      </c>
      <c r="D24" s="247"/>
      <c r="E24" s="247"/>
      <c r="F24" s="247"/>
      <c r="G24" s="247"/>
      <c r="H24" s="247"/>
      <c r="I24" s="80">
        <v>0</v>
      </c>
      <c r="J24" s="244"/>
    </row>
    <row r="25" spans="2:10" ht="15" thickBot="1" x14ac:dyDescent="0.4">
      <c r="B25" s="78"/>
      <c r="C25" s="246" t="s">
        <v>141</v>
      </c>
      <c r="D25" s="247"/>
      <c r="E25" s="247"/>
      <c r="F25" s="247"/>
      <c r="G25" s="247"/>
      <c r="H25" s="247"/>
      <c r="I25" s="80">
        <v>0</v>
      </c>
      <c r="J25" s="244"/>
    </row>
    <row r="26" spans="2:10" ht="15" thickBot="1" x14ac:dyDescent="0.4">
      <c r="B26" s="78"/>
      <c r="C26" s="246" t="s">
        <v>142</v>
      </c>
      <c r="D26" s="247"/>
      <c r="E26" s="247"/>
      <c r="F26" s="247"/>
      <c r="G26" s="247"/>
      <c r="H26" s="247"/>
      <c r="I26" s="80">
        <v>1</v>
      </c>
      <c r="J26" s="244"/>
    </row>
    <row r="27" spans="2:10" ht="15" thickBot="1" x14ac:dyDescent="0.4">
      <c r="B27" s="78"/>
      <c r="C27" s="248" t="s">
        <v>143</v>
      </c>
      <c r="D27" s="249"/>
      <c r="E27" s="249"/>
      <c r="F27" s="249"/>
      <c r="G27" s="249"/>
      <c r="H27" s="249"/>
      <c r="I27" s="81">
        <v>1</v>
      </c>
      <c r="J27" s="245"/>
    </row>
    <row r="28" spans="2:10" ht="18.5" thickBot="1" x14ac:dyDescent="0.45">
      <c r="B28" s="75" t="s">
        <v>144</v>
      </c>
      <c r="C28" s="238" t="s">
        <v>145</v>
      </c>
      <c r="D28" s="239"/>
      <c r="E28" s="239"/>
      <c r="F28" s="239"/>
      <c r="G28" s="239"/>
      <c r="H28" s="240"/>
      <c r="I28" s="76"/>
      <c r="J28" s="77"/>
    </row>
    <row r="29" spans="2:10" ht="15" thickBot="1" x14ac:dyDescent="0.4">
      <c r="B29" s="78"/>
      <c r="C29" s="241" t="s">
        <v>146</v>
      </c>
      <c r="D29" s="242"/>
      <c r="E29" s="242"/>
      <c r="F29" s="242"/>
      <c r="G29" s="242"/>
      <c r="H29" s="242"/>
      <c r="I29" s="79">
        <v>0</v>
      </c>
      <c r="J29" s="243">
        <f>SUM(I29:I33)</f>
        <v>2</v>
      </c>
    </row>
    <row r="30" spans="2:10" ht="15" thickBot="1" x14ac:dyDescent="0.4">
      <c r="B30" s="78"/>
      <c r="C30" s="246" t="s">
        <v>147</v>
      </c>
      <c r="D30" s="247"/>
      <c r="E30" s="247"/>
      <c r="F30" s="247"/>
      <c r="G30" s="247"/>
      <c r="H30" s="247"/>
      <c r="I30" s="80">
        <v>0</v>
      </c>
      <c r="J30" s="244"/>
    </row>
    <row r="31" spans="2:10" ht="15" thickBot="1" x14ac:dyDescent="0.4">
      <c r="B31" s="78"/>
      <c r="C31" s="246" t="s">
        <v>148</v>
      </c>
      <c r="D31" s="247"/>
      <c r="E31" s="247"/>
      <c r="F31" s="247"/>
      <c r="G31" s="247"/>
      <c r="H31" s="247"/>
      <c r="I31" s="80">
        <v>1</v>
      </c>
      <c r="J31" s="244"/>
    </row>
    <row r="32" spans="2:10" ht="15" thickBot="1" x14ac:dyDescent="0.4">
      <c r="B32" s="78"/>
      <c r="C32" s="246" t="s">
        <v>149</v>
      </c>
      <c r="D32" s="247"/>
      <c r="E32" s="247"/>
      <c r="F32" s="247"/>
      <c r="G32" s="247"/>
      <c r="H32" s="247"/>
      <c r="I32" s="80">
        <v>0</v>
      </c>
      <c r="J32" s="244"/>
    </row>
    <row r="33" spans="2:10" ht="15" thickBot="1" x14ac:dyDescent="0.4">
      <c r="B33" s="78"/>
      <c r="C33" s="248" t="s">
        <v>150</v>
      </c>
      <c r="D33" s="249"/>
      <c r="E33" s="249"/>
      <c r="F33" s="249"/>
      <c r="G33" s="249"/>
      <c r="H33" s="249"/>
      <c r="I33" s="81">
        <v>1</v>
      </c>
      <c r="J33" s="245"/>
    </row>
    <row r="34" spans="2:10" ht="18.5" thickBot="1" x14ac:dyDescent="0.45">
      <c r="B34" s="75" t="s">
        <v>151</v>
      </c>
      <c r="C34" s="238" t="s">
        <v>152</v>
      </c>
      <c r="D34" s="239"/>
      <c r="E34" s="239"/>
      <c r="F34" s="239"/>
      <c r="G34" s="239"/>
      <c r="H34" s="240"/>
      <c r="I34" s="76"/>
      <c r="J34" s="77"/>
    </row>
    <row r="35" spans="2:10" ht="15" thickBot="1" x14ac:dyDescent="0.4">
      <c r="B35" s="78"/>
      <c r="C35" s="241" t="s">
        <v>153</v>
      </c>
      <c r="D35" s="242"/>
      <c r="E35" s="242"/>
      <c r="F35" s="242"/>
      <c r="G35" s="242"/>
      <c r="H35" s="242"/>
      <c r="I35" s="79">
        <v>0</v>
      </c>
      <c r="J35" s="243">
        <f>SUM(I35:I39)</f>
        <v>2</v>
      </c>
    </row>
    <row r="36" spans="2:10" ht="15" thickBot="1" x14ac:dyDescent="0.4">
      <c r="B36" s="78"/>
      <c r="C36" s="246" t="s">
        <v>154</v>
      </c>
      <c r="D36" s="247"/>
      <c r="E36" s="247"/>
      <c r="F36" s="247"/>
      <c r="G36" s="247"/>
      <c r="H36" s="247"/>
      <c r="I36" s="80">
        <v>1</v>
      </c>
      <c r="J36" s="244"/>
    </row>
    <row r="37" spans="2:10" ht="15" thickBot="1" x14ac:dyDescent="0.4">
      <c r="B37" s="78"/>
      <c r="C37" s="246" t="s">
        <v>155</v>
      </c>
      <c r="D37" s="247"/>
      <c r="E37" s="247"/>
      <c r="F37" s="247"/>
      <c r="G37" s="247"/>
      <c r="H37" s="247"/>
      <c r="I37" s="80">
        <v>1</v>
      </c>
      <c r="J37" s="244"/>
    </row>
    <row r="38" spans="2:10" ht="15" thickBot="1" x14ac:dyDescent="0.4">
      <c r="B38" s="78"/>
      <c r="C38" s="246" t="s">
        <v>156</v>
      </c>
      <c r="D38" s="247"/>
      <c r="E38" s="247"/>
      <c r="F38" s="247"/>
      <c r="G38" s="247"/>
      <c r="H38" s="247"/>
      <c r="I38" s="80">
        <v>0</v>
      </c>
      <c r="J38" s="244"/>
    </row>
    <row r="39" spans="2:10" ht="15" thickBot="1" x14ac:dyDescent="0.4">
      <c r="B39" s="78"/>
      <c r="C39" s="248" t="s">
        <v>157</v>
      </c>
      <c r="D39" s="249"/>
      <c r="E39" s="249"/>
      <c r="F39" s="249"/>
      <c r="G39" s="249"/>
      <c r="H39" s="249"/>
      <c r="I39" s="81">
        <v>0</v>
      </c>
      <c r="J39" s="245"/>
    </row>
    <row r="40" spans="2:10" ht="18.5" thickBot="1" x14ac:dyDescent="0.45">
      <c r="B40" s="75" t="s">
        <v>158</v>
      </c>
      <c r="C40" s="238" t="s">
        <v>159</v>
      </c>
      <c r="D40" s="239"/>
      <c r="E40" s="239"/>
      <c r="F40" s="239"/>
      <c r="G40" s="239"/>
      <c r="H40" s="240"/>
      <c r="I40" s="76"/>
      <c r="J40" s="77"/>
    </row>
    <row r="41" spans="2:10" ht="15" thickBot="1" x14ac:dyDescent="0.4">
      <c r="B41" s="78"/>
      <c r="C41" s="241" t="s">
        <v>160</v>
      </c>
      <c r="D41" s="242"/>
      <c r="E41" s="242"/>
      <c r="F41" s="242"/>
      <c r="G41" s="242"/>
      <c r="H41" s="242"/>
      <c r="I41" s="79">
        <v>0</v>
      </c>
      <c r="J41" s="243">
        <f>SUM(I41:I45)</f>
        <v>0</v>
      </c>
    </row>
    <row r="42" spans="2:10" ht="15" thickBot="1" x14ac:dyDescent="0.4">
      <c r="B42" s="78"/>
      <c r="C42" s="246" t="s">
        <v>161</v>
      </c>
      <c r="D42" s="247"/>
      <c r="E42" s="247"/>
      <c r="F42" s="247"/>
      <c r="G42" s="247"/>
      <c r="H42" s="247"/>
      <c r="I42" s="80">
        <v>0</v>
      </c>
      <c r="J42" s="244"/>
    </row>
    <row r="43" spans="2:10" ht="15" thickBot="1" x14ac:dyDescent="0.4">
      <c r="B43" s="78"/>
      <c r="C43" s="246" t="s">
        <v>162</v>
      </c>
      <c r="D43" s="247"/>
      <c r="E43" s="247"/>
      <c r="F43" s="247"/>
      <c r="G43" s="247"/>
      <c r="H43" s="247"/>
      <c r="I43" s="80">
        <v>0</v>
      </c>
      <c r="J43" s="244"/>
    </row>
    <row r="44" spans="2:10" ht="15" thickBot="1" x14ac:dyDescent="0.4">
      <c r="B44" s="78"/>
      <c r="C44" s="246" t="s">
        <v>163</v>
      </c>
      <c r="D44" s="247"/>
      <c r="E44" s="247"/>
      <c r="F44" s="247"/>
      <c r="G44" s="247"/>
      <c r="H44" s="247"/>
      <c r="I44" s="80">
        <v>0</v>
      </c>
      <c r="J44" s="244"/>
    </row>
    <row r="45" spans="2:10" ht="15" thickBot="1" x14ac:dyDescent="0.4">
      <c r="B45" s="78"/>
      <c r="C45" s="248" t="s">
        <v>164</v>
      </c>
      <c r="D45" s="249"/>
      <c r="E45" s="249"/>
      <c r="F45" s="249"/>
      <c r="G45" s="249"/>
      <c r="H45" s="249"/>
      <c r="I45" s="81">
        <v>0</v>
      </c>
      <c r="J45" s="245"/>
    </row>
    <row r="46" spans="2:10" ht="18.5" thickBot="1" x14ac:dyDescent="0.45">
      <c r="B46" s="75" t="s">
        <v>165</v>
      </c>
      <c r="C46" s="238" t="s">
        <v>166</v>
      </c>
      <c r="D46" s="239"/>
      <c r="E46" s="239"/>
      <c r="F46" s="239"/>
      <c r="G46" s="239"/>
      <c r="H46" s="240"/>
      <c r="I46" s="76"/>
      <c r="J46" s="77"/>
    </row>
    <row r="47" spans="2:10" ht="15" thickBot="1" x14ac:dyDescent="0.4">
      <c r="B47" s="78"/>
      <c r="C47" s="241" t="s">
        <v>167</v>
      </c>
      <c r="D47" s="242"/>
      <c r="E47" s="242"/>
      <c r="F47" s="242"/>
      <c r="G47" s="242"/>
      <c r="H47" s="242"/>
      <c r="I47" s="79">
        <v>0</v>
      </c>
      <c r="J47" s="243">
        <f>SUM(I47:I51)</f>
        <v>0</v>
      </c>
    </row>
    <row r="48" spans="2:10" ht="15" thickBot="1" x14ac:dyDescent="0.4">
      <c r="B48" s="78"/>
      <c r="C48" s="246" t="s">
        <v>168</v>
      </c>
      <c r="D48" s="247"/>
      <c r="E48" s="247"/>
      <c r="F48" s="247"/>
      <c r="G48" s="247"/>
      <c r="H48" s="247"/>
      <c r="I48" s="80">
        <v>0</v>
      </c>
      <c r="J48" s="244"/>
    </row>
    <row r="49" spans="2:10" ht="15" thickBot="1" x14ac:dyDescent="0.4">
      <c r="B49" s="78"/>
      <c r="C49" s="246" t="s">
        <v>169</v>
      </c>
      <c r="D49" s="247"/>
      <c r="E49" s="247"/>
      <c r="F49" s="247"/>
      <c r="G49" s="247"/>
      <c r="H49" s="247"/>
      <c r="I49" s="80">
        <v>0</v>
      </c>
      <c r="J49" s="244"/>
    </row>
    <row r="50" spans="2:10" ht="15" thickBot="1" x14ac:dyDescent="0.4">
      <c r="B50" s="78"/>
      <c r="C50" s="246" t="s">
        <v>170</v>
      </c>
      <c r="D50" s="247"/>
      <c r="E50" s="247"/>
      <c r="F50" s="247"/>
      <c r="G50" s="247"/>
      <c r="H50" s="247"/>
      <c r="I50" s="80">
        <v>0</v>
      </c>
      <c r="J50" s="244"/>
    </row>
    <row r="51" spans="2:10" ht="15" thickBot="1" x14ac:dyDescent="0.4">
      <c r="B51" s="82"/>
      <c r="C51" s="256" t="s">
        <v>171</v>
      </c>
      <c r="D51" s="257"/>
      <c r="E51" s="257"/>
      <c r="F51" s="257"/>
      <c r="G51" s="257"/>
      <c r="H51" s="257"/>
      <c r="I51" s="80">
        <v>0</v>
      </c>
      <c r="J51" s="245"/>
    </row>
    <row r="52" spans="2:10" ht="18.5" thickBot="1" x14ac:dyDescent="0.45">
      <c r="B52" s="250" t="s">
        <v>172</v>
      </c>
      <c r="C52" s="251"/>
      <c r="D52" s="251"/>
      <c r="E52" s="251"/>
      <c r="F52" s="251"/>
      <c r="G52" s="252"/>
      <c r="H52" s="83"/>
      <c r="I52" s="84"/>
      <c r="J52" s="85"/>
    </row>
    <row r="53" spans="2:10" ht="18.5" thickBot="1" x14ac:dyDescent="0.4">
      <c r="B53" s="253"/>
      <c r="C53" s="254"/>
      <c r="D53" s="254"/>
      <c r="E53" s="254"/>
      <c r="F53" s="254"/>
      <c r="G53" s="255"/>
      <c r="H53" s="86" t="s">
        <v>173</v>
      </c>
      <c r="I53" s="87"/>
      <c r="J53" s="88">
        <f>AVERAGE(J23:J51)</f>
        <v>1.2</v>
      </c>
    </row>
  </sheetData>
  <mergeCells count="39">
    <mergeCell ref="B52:G53"/>
    <mergeCell ref="C46:H46"/>
    <mergeCell ref="C47:H47"/>
    <mergeCell ref="J47:J51"/>
    <mergeCell ref="C48:H48"/>
    <mergeCell ref="C49:H49"/>
    <mergeCell ref="C50:H50"/>
    <mergeCell ref="C51:H51"/>
    <mergeCell ref="C40:H40"/>
    <mergeCell ref="C41:H41"/>
    <mergeCell ref="J41:J45"/>
    <mergeCell ref="C42:H42"/>
    <mergeCell ref="C43:H43"/>
    <mergeCell ref="C44:H44"/>
    <mergeCell ref="C45:H45"/>
    <mergeCell ref="C34:H34"/>
    <mergeCell ref="C35:H35"/>
    <mergeCell ref="J35:J39"/>
    <mergeCell ref="C36:H36"/>
    <mergeCell ref="C37:H37"/>
    <mergeCell ref="C38:H38"/>
    <mergeCell ref="C39:H39"/>
    <mergeCell ref="C28:H28"/>
    <mergeCell ref="C29:H29"/>
    <mergeCell ref="J29:J33"/>
    <mergeCell ref="C30:H30"/>
    <mergeCell ref="C31:H31"/>
    <mergeCell ref="C32:H32"/>
    <mergeCell ref="C33:H33"/>
    <mergeCell ref="B1:D1"/>
    <mergeCell ref="B20:J20"/>
    <mergeCell ref="C21:H21"/>
    <mergeCell ref="C22:H22"/>
    <mergeCell ref="C23:H23"/>
    <mergeCell ref="J23:J27"/>
    <mergeCell ref="C24:H24"/>
    <mergeCell ref="C25:H25"/>
    <mergeCell ref="C26:H26"/>
    <mergeCell ref="C27:H27"/>
  </mergeCells>
  <conditionalFormatting sqref="J23:J27 J29:J33 J35:J39 J41:J45 J47:J51 J53">
    <cfRule type="cellIs" dxfId="5" priority="1" stopIfTrue="1" operator="lessThanOrEqual">
      <formula>2</formula>
    </cfRule>
    <cfRule type="cellIs" dxfId="4" priority="2" stopIfTrue="1" operator="lessThan">
      <formula>5</formula>
    </cfRule>
    <cfRule type="cellIs" dxfId="3" priority="3" stopIfTrue="1" operator="equal">
      <formula>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5"/>
  <sheetViews>
    <sheetView workbookViewId="0">
      <selection activeCell="F7" sqref="F7"/>
    </sheetView>
  </sheetViews>
  <sheetFormatPr defaultRowHeight="14.5" x14ac:dyDescent="0.35"/>
  <cols>
    <col min="2" max="2" width="41.6328125" customWidth="1"/>
    <col min="3" max="3" width="9.90625" customWidth="1"/>
    <col min="4" max="4" width="17.81640625" customWidth="1"/>
  </cols>
  <sheetData>
    <row r="1" spans="2:13" ht="21" x14ac:dyDescent="0.5">
      <c r="B1" s="213" t="s">
        <v>52</v>
      </c>
      <c r="C1" s="213"/>
      <c r="D1" s="213"/>
    </row>
    <row r="2" spans="2:13" x14ac:dyDescent="0.35">
      <c r="B2" s="1" t="s">
        <v>18</v>
      </c>
      <c r="C2" s="1">
        <v>20</v>
      </c>
      <c r="D2" s="3" t="s">
        <v>3</v>
      </c>
    </row>
    <row r="3" spans="2:13" x14ac:dyDescent="0.35">
      <c r="B3" s="1" t="s">
        <v>19</v>
      </c>
      <c r="C3" s="1">
        <v>3.2</v>
      </c>
      <c r="D3" s="3" t="s">
        <v>4</v>
      </c>
    </row>
    <row r="4" spans="2:13" x14ac:dyDescent="0.35">
      <c r="B4" s="1" t="s">
        <v>20</v>
      </c>
      <c r="C4" s="1">
        <v>3.75</v>
      </c>
      <c r="D4" s="3" t="s">
        <v>5</v>
      </c>
    </row>
    <row r="5" spans="2:13" x14ac:dyDescent="0.35">
      <c r="B5" s="1" t="s">
        <v>22</v>
      </c>
      <c r="C5" s="1">
        <v>2080</v>
      </c>
      <c r="D5" s="3" t="s">
        <v>6</v>
      </c>
    </row>
    <row r="6" spans="2:13" x14ac:dyDescent="0.35">
      <c r="B6" s="1" t="s">
        <v>21</v>
      </c>
      <c r="C6" s="4">
        <v>0.15</v>
      </c>
      <c r="D6" s="3" t="s">
        <v>9</v>
      </c>
    </row>
    <row r="7" spans="2:13" x14ac:dyDescent="0.35">
      <c r="B7" s="1" t="s">
        <v>1</v>
      </c>
      <c r="C7" s="2">
        <v>15</v>
      </c>
      <c r="D7" s="3" t="s">
        <v>10</v>
      </c>
    </row>
    <row r="8" spans="2:13" x14ac:dyDescent="0.35">
      <c r="B8" s="1" t="s">
        <v>362</v>
      </c>
      <c r="C8" s="5">
        <f>(C2*(C4-C3))*C5*C6*C7</f>
        <v>51479.999999999978</v>
      </c>
      <c r="D8" s="1" t="s">
        <v>23</v>
      </c>
    </row>
    <row r="10" spans="2:13" x14ac:dyDescent="0.35">
      <c r="B10" t="s">
        <v>48</v>
      </c>
      <c r="C10" s="17">
        <f>(C4-C3)*C5*C6</f>
        <v>171.59999999999994</v>
      </c>
    </row>
    <row r="11" spans="2:13" ht="15" thickBot="1" x14ac:dyDescent="0.4"/>
    <row r="12" spans="2:13" ht="26.5" thickBot="1" x14ac:dyDescent="0.65">
      <c r="B12" s="258" t="s">
        <v>216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</row>
    <row r="13" spans="2:13" ht="84.5" thickBot="1" x14ac:dyDescent="0.4">
      <c r="B13" s="112"/>
      <c r="C13" s="113" t="s">
        <v>352</v>
      </c>
      <c r="D13" s="113" t="s">
        <v>353</v>
      </c>
      <c r="E13" s="113" t="s">
        <v>354</v>
      </c>
      <c r="F13" s="113" t="s">
        <v>355</v>
      </c>
      <c r="G13" s="113"/>
      <c r="H13" s="113"/>
      <c r="I13" s="113"/>
      <c r="J13" s="113"/>
      <c r="K13" s="113"/>
      <c r="L13" s="114"/>
      <c r="M13" s="115" t="s">
        <v>212</v>
      </c>
    </row>
    <row r="14" spans="2:13" ht="15" thickBot="1" x14ac:dyDescent="0.4">
      <c r="B14" s="116" t="s">
        <v>213</v>
      </c>
      <c r="C14" s="117">
        <v>8</v>
      </c>
      <c r="D14" s="117">
        <v>8</v>
      </c>
      <c r="E14" s="117">
        <v>8</v>
      </c>
      <c r="F14" s="117">
        <v>8</v>
      </c>
      <c r="G14" s="117">
        <v>8</v>
      </c>
      <c r="H14" s="117">
        <v>8</v>
      </c>
      <c r="I14" s="117">
        <v>8</v>
      </c>
      <c r="J14" s="117">
        <v>8</v>
      </c>
      <c r="K14" s="117">
        <v>8</v>
      </c>
      <c r="L14" s="118">
        <v>8</v>
      </c>
      <c r="M14" s="119"/>
    </row>
    <row r="15" spans="2:13" ht="15" thickBot="1" x14ac:dyDescent="0.4">
      <c r="B15" s="120" t="s">
        <v>348</v>
      </c>
      <c r="C15" s="121"/>
      <c r="D15" s="122">
        <v>4</v>
      </c>
      <c r="E15" s="122">
        <v>4</v>
      </c>
      <c r="F15" s="122">
        <v>4</v>
      </c>
      <c r="G15" s="122"/>
      <c r="H15" s="122"/>
      <c r="I15" s="122"/>
      <c r="J15" s="122"/>
      <c r="K15" s="122"/>
      <c r="L15" s="122"/>
      <c r="M15" s="123">
        <f t="shared" ref="M15:M34" si="0">SUM(C15:L15)</f>
        <v>12</v>
      </c>
    </row>
    <row r="16" spans="2:13" ht="15" thickBot="1" x14ac:dyDescent="0.4">
      <c r="B16" s="124" t="s">
        <v>349</v>
      </c>
      <c r="C16" s="125"/>
      <c r="D16" s="126">
        <v>2</v>
      </c>
      <c r="E16" s="126">
        <v>4</v>
      </c>
      <c r="F16" s="126">
        <v>4</v>
      </c>
      <c r="G16" s="126"/>
      <c r="H16" s="126"/>
      <c r="I16" s="126"/>
      <c r="J16" s="126"/>
      <c r="K16" s="126"/>
      <c r="L16" s="126"/>
      <c r="M16" s="123">
        <f t="shared" si="0"/>
        <v>10</v>
      </c>
    </row>
    <row r="17" spans="2:13" ht="15" thickBot="1" x14ac:dyDescent="0.4">
      <c r="B17" s="124" t="s">
        <v>350</v>
      </c>
      <c r="C17" s="125"/>
      <c r="D17" s="126">
        <v>2</v>
      </c>
      <c r="E17" s="126">
        <v>2</v>
      </c>
      <c r="F17" s="126"/>
      <c r="G17" s="126"/>
      <c r="H17" s="126"/>
      <c r="I17" s="126"/>
      <c r="J17" s="126"/>
      <c r="K17" s="126"/>
      <c r="L17" s="126"/>
      <c r="M17" s="123">
        <f t="shared" si="0"/>
        <v>4</v>
      </c>
    </row>
    <row r="18" spans="2:13" ht="15" thickBot="1" x14ac:dyDescent="0.4">
      <c r="B18" s="124" t="s">
        <v>351</v>
      </c>
      <c r="C18" s="125">
        <v>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3">
        <f t="shared" si="0"/>
        <v>4</v>
      </c>
    </row>
    <row r="19" spans="2:13" ht="15" thickBot="1" x14ac:dyDescent="0.4">
      <c r="B19" s="124" t="s">
        <v>356</v>
      </c>
      <c r="C19" s="125">
        <v>4</v>
      </c>
      <c r="D19" s="126">
        <v>2</v>
      </c>
      <c r="E19" s="126">
        <v>4</v>
      </c>
      <c r="F19" s="126">
        <v>2</v>
      </c>
      <c r="G19" s="126"/>
      <c r="H19" s="126"/>
      <c r="I19" s="126"/>
      <c r="J19" s="126"/>
      <c r="K19" s="126"/>
      <c r="L19" s="126"/>
      <c r="M19" s="123">
        <f t="shared" si="0"/>
        <v>12</v>
      </c>
    </row>
    <row r="20" spans="2:13" ht="15" thickBot="1" x14ac:dyDescent="0.4">
      <c r="B20" s="124" t="s">
        <v>357</v>
      </c>
      <c r="C20" s="125"/>
      <c r="D20" s="126"/>
      <c r="E20" s="126">
        <v>4</v>
      </c>
      <c r="F20" s="126">
        <v>3</v>
      </c>
      <c r="G20" s="126"/>
      <c r="H20" s="126"/>
      <c r="I20" s="126"/>
      <c r="J20" s="126"/>
      <c r="K20" s="126"/>
      <c r="L20" s="126"/>
      <c r="M20" s="123">
        <f t="shared" si="0"/>
        <v>7</v>
      </c>
    </row>
    <row r="21" spans="2:13" ht="15" thickBot="1" x14ac:dyDescent="0.4">
      <c r="B21" s="124" t="s">
        <v>358</v>
      </c>
      <c r="C21" s="125"/>
      <c r="D21" s="126">
        <v>2</v>
      </c>
      <c r="E21" s="126">
        <v>4</v>
      </c>
      <c r="F21" s="126"/>
      <c r="G21" s="126"/>
      <c r="H21" s="126"/>
      <c r="I21" s="126"/>
      <c r="J21" s="126"/>
      <c r="K21" s="126"/>
      <c r="L21" s="126"/>
      <c r="M21" s="123">
        <f t="shared" si="0"/>
        <v>6</v>
      </c>
    </row>
    <row r="22" spans="2:13" ht="15" thickBot="1" x14ac:dyDescent="0.4">
      <c r="B22" s="124" t="s">
        <v>359</v>
      </c>
      <c r="C22" s="125"/>
      <c r="D22" s="126">
        <v>3</v>
      </c>
      <c r="E22" s="126"/>
      <c r="F22" s="126"/>
      <c r="G22" s="126"/>
      <c r="H22" s="126"/>
      <c r="I22" s="126"/>
      <c r="J22" s="126"/>
      <c r="K22" s="126"/>
      <c r="L22" s="126"/>
      <c r="M22" s="123">
        <f t="shared" si="0"/>
        <v>3</v>
      </c>
    </row>
    <row r="23" spans="2:13" ht="15" thickBot="1" x14ac:dyDescent="0.4">
      <c r="B23" s="124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3">
        <f t="shared" si="0"/>
        <v>0</v>
      </c>
    </row>
    <row r="24" spans="2:13" ht="15" thickBot="1" x14ac:dyDescent="0.4">
      <c r="B24" s="124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3">
        <f t="shared" si="0"/>
        <v>0</v>
      </c>
    </row>
    <row r="25" spans="2:13" ht="15" thickBot="1" x14ac:dyDescent="0.4">
      <c r="B25" s="124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3">
        <f t="shared" si="0"/>
        <v>0</v>
      </c>
    </row>
    <row r="26" spans="2:13" ht="15" thickBot="1" x14ac:dyDescent="0.4">
      <c r="B26" s="124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3">
        <f t="shared" si="0"/>
        <v>0</v>
      </c>
    </row>
    <row r="27" spans="2:13" ht="15" thickBot="1" x14ac:dyDescent="0.4">
      <c r="B27" s="124"/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3">
        <f t="shared" si="0"/>
        <v>0</v>
      </c>
    </row>
    <row r="28" spans="2:13" ht="15" thickBot="1" x14ac:dyDescent="0.4">
      <c r="B28" s="124"/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3">
        <f t="shared" si="0"/>
        <v>0</v>
      </c>
    </row>
    <row r="29" spans="2:13" ht="15" thickBot="1" x14ac:dyDescent="0.4">
      <c r="B29" s="124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3">
        <f t="shared" si="0"/>
        <v>0</v>
      </c>
    </row>
    <row r="30" spans="2:13" ht="15" thickBot="1" x14ac:dyDescent="0.4">
      <c r="B30" s="124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3">
        <f t="shared" si="0"/>
        <v>0</v>
      </c>
    </row>
    <row r="31" spans="2:13" ht="15" thickBot="1" x14ac:dyDescent="0.4">
      <c r="B31" s="124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3">
        <f t="shared" si="0"/>
        <v>0</v>
      </c>
    </row>
    <row r="32" spans="2:13" ht="15" thickBot="1" x14ac:dyDescent="0.4">
      <c r="B32" s="124"/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3">
        <f t="shared" si="0"/>
        <v>0</v>
      </c>
    </row>
    <row r="33" spans="2:13" ht="15" thickBot="1" x14ac:dyDescent="0.4">
      <c r="B33" s="127"/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30">
        <f t="shared" si="0"/>
        <v>0</v>
      </c>
    </row>
    <row r="34" spans="2:13" x14ac:dyDescent="0.35">
      <c r="B34" s="131" t="s">
        <v>214</v>
      </c>
      <c r="C34" s="132">
        <f t="shared" ref="C34:L34" si="1">SUM(C15:C33)</f>
        <v>8</v>
      </c>
      <c r="D34" s="122">
        <f t="shared" si="1"/>
        <v>15</v>
      </c>
      <c r="E34" s="122">
        <f t="shared" si="1"/>
        <v>22</v>
      </c>
      <c r="F34" s="122">
        <f t="shared" si="1"/>
        <v>13</v>
      </c>
      <c r="G34" s="122">
        <f t="shared" si="1"/>
        <v>0</v>
      </c>
      <c r="H34" s="122">
        <f t="shared" si="1"/>
        <v>0</v>
      </c>
      <c r="I34" s="122">
        <f t="shared" si="1"/>
        <v>0</v>
      </c>
      <c r="J34" s="122">
        <f t="shared" si="1"/>
        <v>0</v>
      </c>
      <c r="K34" s="122">
        <f t="shared" si="1"/>
        <v>0</v>
      </c>
      <c r="L34" s="122">
        <f t="shared" si="1"/>
        <v>0</v>
      </c>
      <c r="M34" s="123">
        <f t="shared" si="0"/>
        <v>58</v>
      </c>
    </row>
    <row r="35" spans="2:13" ht="21.5" thickBot="1" x14ac:dyDescent="0.55000000000000004">
      <c r="B35" s="133" t="s">
        <v>215</v>
      </c>
      <c r="C35" s="134">
        <f>IF(C34/C14&gt;1,1,(C34/C14))</f>
        <v>1</v>
      </c>
      <c r="D35" s="134">
        <f t="shared" ref="D35:F35" si="2">IF(D34/D14&gt;1,1,(D34/D14))</f>
        <v>1</v>
      </c>
      <c r="E35" s="134">
        <f t="shared" si="2"/>
        <v>1</v>
      </c>
      <c r="F35" s="134">
        <f t="shared" si="2"/>
        <v>1</v>
      </c>
      <c r="G35" s="134"/>
      <c r="H35" s="134"/>
      <c r="I35" s="134"/>
      <c r="J35" s="134"/>
      <c r="K35" s="134"/>
      <c r="L35" s="134"/>
      <c r="M35" s="135">
        <f>AVERAGE(C35:L35)</f>
        <v>1</v>
      </c>
    </row>
  </sheetData>
  <mergeCells count="2">
    <mergeCell ref="B1:D1"/>
    <mergeCell ref="B12:M12"/>
  </mergeCells>
  <conditionalFormatting sqref="C15:L33">
    <cfRule type="cellIs" dxfId="2" priority="1" operator="equal">
      <formula>2</formula>
    </cfRule>
    <cfRule type="cellIs" dxfId="1" priority="2" operator="equal">
      <formula>4</formula>
    </cfRule>
    <cfRule type="cellIs" dxfId="0" priority="3" operator="equal">
      <formula>3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C14" sqref="C14"/>
    </sheetView>
  </sheetViews>
  <sheetFormatPr defaultRowHeight="14.5" x14ac:dyDescent="0.35"/>
  <cols>
    <col min="2" max="2" width="49.81640625" customWidth="1"/>
    <col min="3" max="3" width="14.1796875" customWidth="1"/>
    <col min="4" max="4" width="15.36328125" customWidth="1"/>
  </cols>
  <sheetData>
    <row r="1" spans="2:4" ht="21" x14ac:dyDescent="0.5">
      <c r="B1" s="213" t="s">
        <v>64</v>
      </c>
      <c r="C1" s="213"/>
      <c r="D1" s="213"/>
    </row>
    <row r="2" spans="2:4" x14ac:dyDescent="0.35">
      <c r="B2" s="1" t="s">
        <v>18</v>
      </c>
      <c r="C2" s="1">
        <v>20</v>
      </c>
      <c r="D2" s="3" t="s">
        <v>3</v>
      </c>
    </row>
    <row r="3" spans="2:4" x14ac:dyDescent="0.35">
      <c r="B3" s="1" t="s">
        <v>39</v>
      </c>
      <c r="C3" s="1">
        <v>15</v>
      </c>
      <c r="D3" s="3" t="s">
        <v>4</v>
      </c>
    </row>
    <row r="4" spans="2:4" x14ac:dyDescent="0.35">
      <c r="B4" s="1" t="s">
        <v>40</v>
      </c>
      <c r="C4" s="8">
        <v>5</v>
      </c>
      <c r="D4" s="3" t="s">
        <v>5</v>
      </c>
    </row>
    <row r="5" spans="2:4" x14ac:dyDescent="0.35">
      <c r="B5" s="1" t="s">
        <v>7</v>
      </c>
      <c r="C5" s="8">
        <v>250</v>
      </c>
      <c r="D5" s="3" t="s">
        <v>6</v>
      </c>
    </row>
    <row r="6" spans="2:4" x14ac:dyDescent="0.35">
      <c r="B6" s="1" t="s">
        <v>1</v>
      </c>
      <c r="C6" s="2">
        <v>15</v>
      </c>
      <c r="D6" s="3" t="s">
        <v>9</v>
      </c>
    </row>
    <row r="7" spans="2:4" x14ac:dyDescent="0.35">
      <c r="B7" s="1" t="s">
        <v>363</v>
      </c>
      <c r="C7" s="2">
        <f>C2*((C3-C4)/60)*C5*C6</f>
        <v>12499.999999999998</v>
      </c>
      <c r="D7" s="1" t="s">
        <v>50</v>
      </c>
    </row>
    <row r="9" spans="2:4" x14ac:dyDescent="0.35">
      <c r="B9" t="s">
        <v>48</v>
      </c>
      <c r="C9" s="209">
        <f>(C3-C4)*C5/60</f>
        <v>41.666666666666664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7"/>
  <sheetViews>
    <sheetView workbookViewId="0">
      <selection activeCell="F12" sqref="F12"/>
    </sheetView>
  </sheetViews>
  <sheetFormatPr defaultRowHeight="14.5" x14ac:dyDescent="0.35"/>
  <cols>
    <col min="2" max="2" width="48" customWidth="1"/>
    <col min="3" max="3" width="16" customWidth="1"/>
    <col min="4" max="4" width="17.1796875" bestFit="1" customWidth="1"/>
    <col min="9" max="9" width="43.81640625" customWidth="1"/>
  </cols>
  <sheetData>
    <row r="1" spans="1:9" ht="21" x14ac:dyDescent="0.5">
      <c r="B1" s="213" t="s">
        <v>54</v>
      </c>
      <c r="C1" s="213"/>
      <c r="D1" s="213"/>
    </row>
    <row r="2" spans="1:9" x14ac:dyDescent="0.35">
      <c r="B2" s="1" t="s">
        <v>27</v>
      </c>
      <c r="C2" s="1">
        <v>20</v>
      </c>
      <c r="D2" s="3" t="s">
        <v>3</v>
      </c>
    </row>
    <row r="3" spans="1:9" x14ac:dyDescent="0.35">
      <c r="B3" s="1" t="s">
        <v>30</v>
      </c>
      <c r="C3" s="1">
        <v>1000</v>
      </c>
      <c r="D3" s="3" t="s">
        <v>4</v>
      </c>
    </row>
    <row r="4" spans="1:9" x14ac:dyDescent="0.35">
      <c r="B4" s="1" t="s">
        <v>31</v>
      </c>
      <c r="C4" s="1">
        <v>250</v>
      </c>
      <c r="D4" s="3" t="s">
        <v>5</v>
      </c>
    </row>
    <row r="5" spans="1:9" x14ac:dyDescent="0.35">
      <c r="B5" s="1" t="s">
        <v>7</v>
      </c>
      <c r="C5" s="1">
        <v>250</v>
      </c>
      <c r="D5" s="3" t="s">
        <v>6</v>
      </c>
    </row>
    <row r="6" spans="1:9" x14ac:dyDescent="0.35">
      <c r="B6" s="1" t="s">
        <v>29</v>
      </c>
      <c r="C6" s="1">
        <v>5280</v>
      </c>
      <c r="D6" s="3" t="s">
        <v>9</v>
      </c>
    </row>
    <row r="7" spans="1:9" x14ac:dyDescent="0.35">
      <c r="B7" s="1" t="s">
        <v>28</v>
      </c>
      <c r="C7" s="6">
        <v>2.5</v>
      </c>
      <c r="D7" s="3" t="s">
        <v>10</v>
      </c>
      <c r="F7" s="7"/>
    </row>
    <row r="8" spans="1:9" x14ac:dyDescent="0.35">
      <c r="B8" s="1" t="s">
        <v>1</v>
      </c>
      <c r="C8" s="2">
        <v>15</v>
      </c>
      <c r="D8" s="3" t="s">
        <v>32</v>
      </c>
    </row>
    <row r="9" spans="1:9" x14ac:dyDescent="0.35">
      <c r="B9" s="1" t="s">
        <v>49</v>
      </c>
      <c r="C9" s="2">
        <f>C2*(C3-C4)*C5/C6/C7*C8</f>
        <v>4261.3636363636369</v>
      </c>
      <c r="D9" s="1" t="s">
        <v>380</v>
      </c>
    </row>
    <row r="11" spans="1:9" x14ac:dyDescent="0.35">
      <c r="B11" t="s">
        <v>48</v>
      </c>
      <c r="C11" s="17">
        <f>(C3-C4)*C5/C6/C7</f>
        <v>14.204545454545453</v>
      </c>
    </row>
    <row r="15" spans="1:9" ht="15" thickBot="1" x14ac:dyDescent="0.4">
      <c r="B15" t="s">
        <v>325</v>
      </c>
    </row>
    <row r="16" spans="1:9" x14ac:dyDescent="0.35">
      <c r="A16" s="185" t="s">
        <v>324</v>
      </c>
      <c r="B16" s="184" t="s">
        <v>70</v>
      </c>
      <c r="C16" s="183" t="s">
        <v>323</v>
      </c>
      <c r="D16" s="184"/>
      <c r="E16" s="184" t="s">
        <v>322</v>
      </c>
      <c r="F16" s="184" t="s">
        <v>321</v>
      </c>
      <c r="G16" s="184" t="s">
        <v>320</v>
      </c>
      <c r="H16" s="183" t="s">
        <v>319</v>
      </c>
      <c r="I16" s="182" t="s">
        <v>318</v>
      </c>
    </row>
    <row r="17" spans="1:9" x14ac:dyDescent="0.35">
      <c r="A17" s="181">
        <v>1</v>
      </c>
      <c r="B17" s="1" t="s">
        <v>326</v>
      </c>
      <c r="C17" s="180">
        <v>6.9444444444444447E-4</v>
      </c>
      <c r="D17" s="180"/>
      <c r="E17" s="180">
        <f>C17</f>
        <v>6.9444444444444447E-4</v>
      </c>
      <c r="F17" s="36"/>
      <c r="G17" s="36"/>
      <c r="H17" s="186" t="s">
        <v>80</v>
      </c>
      <c r="I17" s="178" t="s">
        <v>330</v>
      </c>
    </row>
    <row r="18" spans="1:9" x14ac:dyDescent="0.35">
      <c r="A18" s="181">
        <v>2</v>
      </c>
      <c r="B18" s="24" t="s">
        <v>317</v>
      </c>
      <c r="C18" s="35">
        <v>1.8402777777777777E-3</v>
      </c>
      <c r="D18" s="180"/>
      <c r="E18" s="180">
        <f t="shared" ref="E18:E37" si="0">C18-C17</f>
        <v>1.1458333333333333E-3</v>
      </c>
      <c r="F18" s="13" t="s">
        <v>80</v>
      </c>
      <c r="G18" s="13"/>
      <c r="H18" s="179"/>
      <c r="I18" s="178"/>
    </row>
    <row r="19" spans="1:9" x14ac:dyDescent="0.35">
      <c r="A19" s="181">
        <v>3</v>
      </c>
      <c r="B19" s="24" t="s">
        <v>327</v>
      </c>
      <c r="C19" s="35">
        <v>3.2175925925925926E-3</v>
      </c>
      <c r="D19" s="180"/>
      <c r="E19" s="180">
        <f t="shared" si="0"/>
        <v>1.3773148148148149E-3</v>
      </c>
      <c r="F19" s="13"/>
      <c r="G19" s="13"/>
      <c r="H19" s="179" t="s">
        <v>80</v>
      </c>
      <c r="I19" s="178" t="s">
        <v>316</v>
      </c>
    </row>
    <row r="20" spans="1:9" x14ac:dyDescent="0.35">
      <c r="A20" s="181">
        <v>4</v>
      </c>
      <c r="B20" s="24" t="s">
        <v>315</v>
      </c>
      <c r="C20" s="35">
        <v>3.472222222222222E-3</v>
      </c>
      <c r="D20" s="180"/>
      <c r="E20" s="180">
        <f t="shared" si="0"/>
        <v>2.5462962962962939E-4</v>
      </c>
      <c r="F20" s="13" t="s">
        <v>80</v>
      </c>
      <c r="G20" s="13"/>
      <c r="H20" s="179"/>
      <c r="I20" s="178"/>
    </row>
    <row r="21" spans="1:9" x14ac:dyDescent="0.35">
      <c r="A21" s="181">
        <v>5</v>
      </c>
      <c r="B21" s="24" t="s">
        <v>297</v>
      </c>
      <c r="C21" s="35">
        <v>3.9120370370370368E-3</v>
      </c>
      <c r="D21" s="180"/>
      <c r="E21" s="180">
        <f t="shared" si="0"/>
        <v>4.3981481481481476E-4</v>
      </c>
      <c r="F21" s="13"/>
      <c r="G21" s="13" t="s">
        <v>80</v>
      </c>
      <c r="H21" s="179"/>
      <c r="I21" s="178" t="s">
        <v>314</v>
      </c>
    </row>
    <row r="22" spans="1:9" x14ac:dyDescent="0.35">
      <c r="A22" s="181">
        <v>6</v>
      </c>
      <c r="B22" s="24" t="s">
        <v>313</v>
      </c>
      <c r="C22" s="35">
        <v>5.9027777777777776E-3</v>
      </c>
      <c r="D22" s="180"/>
      <c r="E22" s="180">
        <f t="shared" si="0"/>
        <v>1.9907407407407408E-3</v>
      </c>
      <c r="F22" s="13" t="s">
        <v>80</v>
      </c>
      <c r="G22" s="13"/>
      <c r="H22" s="179"/>
      <c r="I22" s="178" t="s">
        <v>312</v>
      </c>
    </row>
    <row r="23" spans="1:9" x14ac:dyDescent="0.35">
      <c r="A23" s="181">
        <v>7</v>
      </c>
      <c r="B23" s="24" t="s">
        <v>311</v>
      </c>
      <c r="C23" s="35">
        <v>6.0995370370370361E-3</v>
      </c>
      <c r="D23" s="180"/>
      <c r="E23" s="180">
        <f t="shared" si="0"/>
        <v>1.967592592592585E-4</v>
      </c>
      <c r="F23" s="13" t="s">
        <v>80</v>
      </c>
      <c r="G23" s="13"/>
      <c r="H23" s="179"/>
      <c r="I23" s="178"/>
    </row>
    <row r="24" spans="1:9" x14ac:dyDescent="0.35">
      <c r="A24" s="181">
        <v>8</v>
      </c>
      <c r="B24" s="24" t="s">
        <v>310</v>
      </c>
      <c r="C24" s="35">
        <v>6.4814814814814813E-3</v>
      </c>
      <c r="D24" s="180"/>
      <c r="E24" s="180">
        <f t="shared" si="0"/>
        <v>3.8194444444444517E-4</v>
      </c>
      <c r="F24" s="13" t="s">
        <v>80</v>
      </c>
      <c r="G24" s="13"/>
      <c r="H24" s="179"/>
      <c r="I24" s="178"/>
    </row>
    <row r="25" spans="1:9" x14ac:dyDescent="0.35">
      <c r="A25" s="181">
        <v>9</v>
      </c>
      <c r="B25" s="24" t="s">
        <v>309</v>
      </c>
      <c r="C25" s="35">
        <v>7.2106481481481475E-3</v>
      </c>
      <c r="D25" s="180"/>
      <c r="E25" s="180">
        <f t="shared" si="0"/>
        <v>7.2916666666666616E-4</v>
      </c>
      <c r="F25" s="13" t="s">
        <v>80</v>
      </c>
      <c r="G25" s="13"/>
      <c r="H25" s="179"/>
      <c r="I25" s="178" t="s">
        <v>308</v>
      </c>
    </row>
    <row r="26" spans="1:9" x14ac:dyDescent="0.35">
      <c r="A26" s="181">
        <v>10</v>
      </c>
      <c r="B26" s="24" t="s">
        <v>328</v>
      </c>
      <c r="C26" s="35">
        <v>7.3495370370370372E-3</v>
      </c>
      <c r="D26" s="180"/>
      <c r="E26" s="180">
        <f t="shared" si="0"/>
        <v>1.3888888888888978E-4</v>
      </c>
      <c r="F26" s="13" t="s">
        <v>80</v>
      </c>
      <c r="G26" s="13"/>
      <c r="H26" s="179"/>
      <c r="I26" s="178"/>
    </row>
    <row r="27" spans="1:9" x14ac:dyDescent="0.35">
      <c r="A27" s="181">
        <v>11</v>
      </c>
      <c r="B27" s="1" t="s">
        <v>307</v>
      </c>
      <c r="C27" s="180">
        <v>9.4097222222222238E-3</v>
      </c>
      <c r="D27" s="180"/>
      <c r="E27" s="180">
        <f t="shared" si="0"/>
        <v>2.0601851851851866E-3</v>
      </c>
      <c r="F27" s="13" t="s">
        <v>80</v>
      </c>
      <c r="G27" s="13"/>
      <c r="H27" s="179"/>
      <c r="I27" s="178"/>
    </row>
    <row r="28" spans="1:9" x14ac:dyDescent="0.35">
      <c r="A28" s="181">
        <v>12</v>
      </c>
      <c r="B28" s="1" t="s">
        <v>306</v>
      </c>
      <c r="C28" s="180">
        <v>9.618055555555555E-3</v>
      </c>
      <c r="D28" s="180"/>
      <c r="E28" s="180">
        <f t="shared" si="0"/>
        <v>2.0833333333333121E-4</v>
      </c>
      <c r="F28" s="13" t="s">
        <v>80</v>
      </c>
      <c r="G28" s="13"/>
      <c r="H28" s="179"/>
      <c r="I28" s="178"/>
    </row>
    <row r="29" spans="1:9" x14ac:dyDescent="0.35">
      <c r="A29" s="181">
        <v>13</v>
      </c>
      <c r="B29" s="1" t="s">
        <v>305</v>
      </c>
      <c r="C29" s="180">
        <v>1.1689814814814814E-2</v>
      </c>
      <c r="D29" s="180"/>
      <c r="E29" s="180">
        <f t="shared" si="0"/>
        <v>2.0717592592592593E-3</v>
      </c>
      <c r="F29" s="13"/>
      <c r="G29" s="13" t="s">
        <v>80</v>
      </c>
      <c r="H29" s="179"/>
      <c r="I29" s="178"/>
    </row>
    <row r="30" spans="1:9" x14ac:dyDescent="0.35">
      <c r="A30" s="181">
        <v>14</v>
      </c>
      <c r="B30" s="1" t="s">
        <v>304</v>
      </c>
      <c r="C30" s="180">
        <v>1.2951388888888887E-2</v>
      </c>
      <c r="D30" s="180"/>
      <c r="E30" s="180">
        <f t="shared" si="0"/>
        <v>1.2615740740740729E-3</v>
      </c>
      <c r="F30" s="13"/>
      <c r="G30" s="13"/>
      <c r="H30" s="179" t="s">
        <v>80</v>
      </c>
      <c r="I30" s="178" t="s">
        <v>303</v>
      </c>
    </row>
    <row r="31" spans="1:9" x14ac:dyDescent="0.35">
      <c r="A31" s="181">
        <v>15</v>
      </c>
      <c r="B31" s="1" t="s">
        <v>302</v>
      </c>
      <c r="C31" s="180">
        <v>1.3402777777777777E-2</v>
      </c>
      <c r="D31" s="180"/>
      <c r="E31" s="180">
        <f t="shared" si="0"/>
        <v>4.5138888888889006E-4</v>
      </c>
      <c r="F31" s="13"/>
      <c r="G31" s="13" t="s">
        <v>80</v>
      </c>
      <c r="H31" s="179"/>
      <c r="I31" s="178" t="s">
        <v>329</v>
      </c>
    </row>
    <row r="32" spans="1:9" x14ac:dyDescent="0.35">
      <c r="A32" s="181">
        <v>16</v>
      </c>
      <c r="B32" s="1" t="s">
        <v>301</v>
      </c>
      <c r="C32" s="180">
        <v>1.6053240740740739E-2</v>
      </c>
      <c r="D32" s="180"/>
      <c r="E32" s="180">
        <f t="shared" si="0"/>
        <v>2.6504629629629621E-3</v>
      </c>
      <c r="F32" s="13" t="s">
        <v>80</v>
      </c>
      <c r="G32" s="13"/>
      <c r="H32" s="179"/>
      <c r="I32" s="178" t="s">
        <v>295</v>
      </c>
    </row>
    <row r="33" spans="1:9" x14ac:dyDescent="0.35">
      <c r="A33" s="181">
        <v>17</v>
      </c>
      <c r="B33" s="1" t="s">
        <v>300</v>
      </c>
      <c r="C33" s="180">
        <v>1.6446759259259262E-2</v>
      </c>
      <c r="D33" s="180"/>
      <c r="E33" s="180">
        <f t="shared" si="0"/>
        <v>3.9351851851852221E-4</v>
      </c>
      <c r="F33" s="13"/>
      <c r="G33" s="13" t="s">
        <v>80</v>
      </c>
      <c r="H33" s="179"/>
      <c r="I33" s="178" t="s">
        <v>299</v>
      </c>
    </row>
    <row r="34" spans="1:9" x14ac:dyDescent="0.35">
      <c r="A34" s="181">
        <v>18</v>
      </c>
      <c r="B34" s="1" t="s">
        <v>298</v>
      </c>
      <c r="C34" s="180">
        <v>1.6851851851851851E-2</v>
      </c>
      <c r="D34" s="180"/>
      <c r="E34" s="180">
        <f t="shared" si="0"/>
        <v>4.0509259259258884E-4</v>
      </c>
      <c r="F34" s="13"/>
      <c r="G34" s="13" t="s">
        <v>80</v>
      </c>
      <c r="H34" s="179"/>
      <c r="I34" s="178" t="s">
        <v>295</v>
      </c>
    </row>
    <row r="35" spans="1:9" x14ac:dyDescent="0.35">
      <c r="A35" s="181">
        <v>19</v>
      </c>
      <c r="B35" s="1" t="s">
        <v>297</v>
      </c>
      <c r="C35" s="180">
        <v>1.712962962962963E-2</v>
      </c>
      <c r="D35" s="180"/>
      <c r="E35" s="180">
        <f t="shared" si="0"/>
        <v>2.7777777777777957E-4</v>
      </c>
      <c r="F35" s="13" t="s">
        <v>80</v>
      </c>
      <c r="G35" s="13"/>
      <c r="H35" s="179"/>
      <c r="I35" s="178" t="s">
        <v>295</v>
      </c>
    </row>
    <row r="36" spans="1:9" x14ac:dyDescent="0.35">
      <c r="A36" s="181">
        <v>20</v>
      </c>
      <c r="B36" s="1" t="s">
        <v>296</v>
      </c>
      <c r="C36" s="180">
        <v>1.9212962962962963E-2</v>
      </c>
      <c r="D36" s="180"/>
      <c r="E36" s="180">
        <f t="shared" si="0"/>
        <v>2.0833333333333329E-3</v>
      </c>
      <c r="F36" s="13" t="s">
        <v>80</v>
      </c>
      <c r="G36" s="13"/>
      <c r="H36" s="179"/>
      <c r="I36" s="178" t="s">
        <v>295</v>
      </c>
    </row>
    <row r="37" spans="1:9" x14ac:dyDescent="0.35">
      <c r="A37" s="181">
        <v>21</v>
      </c>
      <c r="B37" s="1" t="s">
        <v>294</v>
      </c>
      <c r="C37" s="180">
        <v>2.476851851851852E-2</v>
      </c>
      <c r="D37" s="180"/>
      <c r="E37" s="180">
        <f t="shared" si="0"/>
        <v>5.5555555555555566E-3</v>
      </c>
      <c r="F37" s="13"/>
      <c r="G37" s="13"/>
      <c r="H37" s="179" t="s">
        <v>80</v>
      </c>
      <c r="I37" s="178" t="s">
        <v>293</v>
      </c>
    </row>
    <row r="38" spans="1:9" x14ac:dyDescent="0.35">
      <c r="A38" s="181"/>
      <c r="B38" s="1"/>
      <c r="C38" s="180"/>
      <c r="D38" s="180"/>
      <c r="E38" s="180"/>
      <c r="F38" s="13"/>
      <c r="G38" s="13"/>
      <c r="H38" s="179"/>
      <c r="I38" s="178"/>
    </row>
    <row r="39" spans="1:9" hidden="1" x14ac:dyDescent="0.35">
      <c r="A39" s="181"/>
      <c r="B39" s="1"/>
      <c r="C39" s="180"/>
      <c r="D39" s="180"/>
      <c r="E39" s="180"/>
      <c r="F39" s="13"/>
      <c r="G39" s="13"/>
      <c r="H39" s="179"/>
      <c r="I39" s="178"/>
    </row>
    <row r="40" spans="1:9" hidden="1" x14ac:dyDescent="0.35">
      <c r="A40" s="181"/>
      <c r="B40" s="1"/>
      <c r="C40" s="180"/>
      <c r="D40" s="180"/>
      <c r="E40" s="180"/>
      <c r="F40" s="13"/>
      <c r="G40" s="13"/>
      <c r="H40" s="179"/>
      <c r="I40" s="178"/>
    </row>
    <row r="41" spans="1:9" hidden="1" x14ac:dyDescent="0.35">
      <c r="A41" s="181"/>
      <c r="B41" s="1"/>
      <c r="C41" s="180"/>
      <c r="D41" s="180"/>
      <c r="E41" s="180"/>
      <c r="F41" s="13"/>
      <c r="G41" s="13"/>
      <c r="H41" s="179"/>
      <c r="I41" s="178"/>
    </row>
    <row r="42" spans="1:9" hidden="1" x14ac:dyDescent="0.35">
      <c r="A42" s="181"/>
      <c r="B42" s="1"/>
      <c r="C42" s="180"/>
      <c r="D42" s="180"/>
      <c r="E42" s="180"/>
      <c r="F42" s="13"/>
      <c r="G42" s="13"/>
      <c r="H42" s="179"/>
      <c r="I42" s="178"/>
    </row>
    <row r="43" spans="1:9" hidden="1" x14ac:dyDescent="0.35">
      <c r="A43" s="181"/>
      <c r="B43" s="1"/>
      <c r="C43" s="180"/>
      <c r="D43" s="180"/>
      <c r="E43" s="180"/>
      <c r="F43" s="13"/>
      <c r="G43" s="13"/>
      <c r="H43" s="179"/>
      <c r="I43" s="178"/>
    </row>
    <row r="44" spans="1:9" hidden="1" x14ac:dyDescent="0.35">
      <c r="A44" s="181"/>
      <c r="B44" s="1"/>
      <c r="C44" s="180"/>
      <c r="D44" s="180"/>
      <c r="E44" s="180"/>
      <c r="F44" s="13"/>
      <c r="G44" s="13"/>
      <c r="H44" s="179"/>
      <c r="I44" s="178"/>
    </row>
    <row r="45" spans="1:9" hidden="1" x14ac:dyDescent="0.35">
      <c r="A45" s="181"/>
      <c r="B45" s="1"/>
      <c r="C45" s="180"/>
      <c r="D45" s="180"/>
      <c r="E45" s="180"/>
      <c r="F45" s="13"/>
      <c r="G45" s="13"/>
      <c r="H45" s="179"/>
      <c r="I45" s="178"/>
    </row>
    <row r="46" spans="1:9" hidden="1" x14ac:dyDescent="0.35">
      <c r="A46" s="181"/>
      <c r="B46" s="1"/>
      <c r="C46" s="180"/>
      <c r="D46" s="180"/>
      <c r="E46" s="180"/>
      <c r="F46" s="13"/>
      <c r="G46" s="13"/>
      <c r="H46" s="179"/>
      <c r="I46" s="178"/>
    </row>
    <row r="47" spans="1:9" hidden="1" x14ac:dyDescent="0.35">
      <c r="A47" s="181"/>
      <c r="B47" s="1"/>
      <c r="C47" s="180"/>
      <c r="D47" s="180"/>
      <c r="E47" s="180"/>
      <c r="F47" s="13"/>
      <c r="G47" s="13"/>
      <c r="H47" s="179"/>
      <c r="I47" s="178"/>
    </row>
    <row r="48" spans="1:9" hidden="1" x14ac:dyDescent="0.35">
      <c r="A48" s="181"/>
      <c r="B48" s="1"/>
      <c r="C48" s="180"/>
      <c r="D48" s="180"/>
      <c r="E48" s="180"/>
      <c r="F48" s="13"/>
      <c r="G48" s="13"/>
      <c r="H48" s="179"/>
      <c r="I48" s="178"/>
    </row>
    <row r="49" spans="1:9" hidden="1" x14ac:dyDescent="0.35">
      <c r="A49" s="181"/>
      <c r="B49" s="1"/>
      <c r="C49" s="180"/>
      <c r="D49" s="180"/>
      <c r="E49" s="180"/>
      <c r="F49" s="13"/>
      <c r="G49" s="13"/>
      <c r="H49" s="179"/>
      <c r="I49" s="178"/>
    </row>
    <row r="50" spans="1:9" hidden="1" x14ac:dyDescent="0.35">
      <c r="A50" s="181"/>
      <c r="B50" s="1"/>
      <c r="C50" s="180"/>
      <c r="D50" s="180"/>
      <c r="E50" s="180"/>
      <c r="F50" s="13"/>
      <c r="G50" s="13"/>
      <c r="H50" s="179"/>
      <c r="I50" s="178"/>
    </row>
    <row r="51" spans="1:9" hidden="1" x14ac:dyDescent="0.35">
      <c r="A51" s="181"/>
      <c r="B51" s="1"/>
      <c r="C51" s="180"/>
      <c r="D51" s="180"/>
      <c r="E51" s="180"/>
      <c r="F51" s="13"/>
      <c r="G51" s="13"/>
      <c r="H51" s="179"/>
      <c r="I51" s="178"/>
    </row>
    <row r="52" spans="1:9" hidden="1" x14ac:dyDescent="0.35">
      <c r="A52" s="181"/>
      <c r="B52" s="1"/>
      <c r="C52" s="180"/>
      <c r="D52" s="180"/>
      <c r="E52" s="180"/>
      <c r="F52" s="13"/>
      <c r="G52" s="13"/>
      <c r="H52" s="179"/>
      <c r="I52" s="178"/>
    </row>
    <row r="53" spans="1:9" hidden="1" x14ac:dyDescent="0.35">
      <c r="A53" s="181"/>
      <c r="B53" s="1"/>
      <c r="C53" s="180"/>
      <c r="D53" s="180"/>
      <c r="E53" s="180"/>
      <c r="F53" s="13"/>
      <c r="G53" s="13"/>
      <c r="H53" s="179"/>
      <c r="I53" s="178"/>
    </row>
    <row r="54" spans="1:9" hidden="1" x14ac:dyDescent="0.35">
      <c r="A54" s="181"/>
      <c r="B54" s="1"/>
      <c r="C54" s="180"/>
      <c r="D54" s="180"/>
      <c r="E54" s="180"/>
      <c r="F54" s="13"/>
      <c r="G54" s="13"/>
      <c r="H54" s="179"/>
      <c r="I54" s="178"/>
    </row>
    <row r="55" spans="1:9" hidden="1" x14ac:dyDescent="0.35">
      <c r="A55" s="181"/>
      <c r="B55" s="1"/>
      <c r="C55" s="180"/>
      <c r="D55" s="180"/>
      <c r="E55" s="180"/>
      <c r="F55" s="13"/>
      <c r="G55" s="13"/>
      <c r="H55" s="179"/>
      <c r="I55" s="178"/>
    </row>
    <row r="56" spans="1:9" hidden="1" x14ac:dyDescent="0.35">
      <c r="A56" s="181"/>
      <c r="B56" s="1"/>
      <c r="C56" s="180"/>
      <c r="D56" s="180"/>
      <c r="E56" s="180"/>
      <c r="F56" s="13"/>
      <c r="G56" s="13"/>
      <c r="H56" s="179"/>
      <c r="I56" s="178"/>
    </row>
    <row r="57" spans="1:9" hidden="1" x14ac:dyDescent="0.35">
      <c r="A57" s="181"/>
      <c r="B57" s="1"/>
      <c r="C57" s="180"/>
      <c r="D57" s="180"/>
      <c r="E57" s="180"/>
      <c r="F57" s="13"/>
      <c r="G57" s="13"/>
      <c r="H57" s="179"/>
      <c r="I57" s="178"/>
    </row>
    <row r="58" spans="1:9" hidden="1" x14ac:dyDescent="0.35">
      <c r="A58" s="181"/>
      <c r="B58" s="1"/>
      <c r="C58" s="180"/>
      <c r="D58" s="180"/>
      <c r="E58" s="180"/>
      <c r="F58" s="13"/>
      <c r="G58" s="13"/>
      <c r="H58" s="179"/>
      <c r="I58" s="178"/>
    </row>
    <row r="59" spans="1:9" hidden="1" x14ac:dyDescent="0.35">
      <c r="A59" s="181"/>
      <c r="B59" s="1"/>
      <c r="C59" s="180"/>
      <c r="D59" s="180"/>
      <c r="E59" s="180"/>
      <c r="F59" s="13"/>
      <c r="G59" s="13"/>
      <c r="H59" s="179"/>
      <c r="I59" s="178"/>
    </row>
    <row r="60" spans="1:9" hidden="1" x14ac:dyDescent="0.35">
      <c r="A60" s="181"/>
      <c r="B60" s="1"/>
      <c r="C60" s="180"/>
      <c r="D60" s="180"/>
      <c r="E60" s="180"/>
      <c r="F60" s="13"/>
      <c r="G60" s="13"/>
      <c r="H60" s="179"/>
      <c r="I60" s="178"/>
    </row>
    <row r="61" spans="1:9" hidden="1" x14ac:dyDescent="0.35">
      <c r="A61" s="181"/>
      <c r="B61" s="1"/>
      <c r="C61" s="180"/>
      <c r="D61" s="180"/>
      <c r="E61" s="180"/>
      <c r="F61" s="13"/>
      <c r="G61" s="13"/>
      <c r="H61" s="179"/>
      <c r="I61" s="178"/>
    </row>
    <row r="62" spans="1:9" hidden="1" x14ac:dyDescent="0.35">
      <c r="A62" s="181"/>
      <c r="B62" s="1"/>
      <c r="C62" s="180"/>
      <c r="D62" s="180"/>
      <c r="E62" s="180"/>
      <c r="F62" s="13"/>
      <c r="G62" s="13"/>
      <c r="H62" s="179"/>
      <c r="I62" s="178"/>
    </row>
    <row r="63" spans="1:9" hidden="1" x14ac:dyDescent="0.35">
      <c r="A63" s="181"/>
      <c r="B63" s="1"/>
      <c r="C63" s="180"/>
      <c r="D63" s="180"/>
      <c r="E63" s="180"/>
      <c r="F63" s="13"/>
      <c r="G63" s="13"/>
      <c r="H63" s="179"/>
      <c r="I63" s="178"/>
    </row>
    <row r="64" spans="1:9" hidden="1" x14ac:dyDescent="0.35">
      <c r="A64" s="181"/>
      <c r="B64" s="1"/>
      <c r="C64" s="180"/>
      <c r="D64" s="180"/>
      <c r="E64" s="180"/>
      <c r="F64" s="13"/>
      <c r="G64" s="13"/>
      <c r="H64" s="179"/>
      <c r="I64" s="178"/>
    </row>
    <row r="65" spans="1:9" hidden="1" x14ac:dyDescent="0.35">
      <c r="A65" s="181"/>
      <c r="B65" s="1"/>
      <c r="C65" s="180"/>
      <c r="D65" s="180"/>
      <c r="E65" s="180"/>
      <c r="F65" s="13"/>
      <c r="G65" s="13"/>
      <c r="H65" s="179"/>
      <c r="I65" s="178"/>
    </row>
    <row r="66" spans="1:9" hidden="1" x14ac:dyDescent="0.35">
      <c r="A66" s="181"/>
      <c r="B66" s="1"/>
      <c r="C66" s="180"/>
      <c r="D66" s="180"/>
      <c r="E66" s="180"/>
      <c r="F66" s="13"/>
      <c r="G66" s="13"/>
      <c r="H66" s="179"/>
      <c r="I66" s="178"/>
    </row>
    <row r="67" spans="1:9" hidden="1" x14ac:dyDescent="0.35">
      <c r="A67" s="181"/>
      <c r="B67" s="1"/>
      <c r="C67" s="180"/>
      <c r="D67" s="180"/>
      <c r="E67" s="180"/>
      <c r="F67" s="13"/>
      <c r="G67" s="13"/>
      <c r="H67" s="179"/>
      <c r="I67" s="178"/>
    </row>
    <row r="68" spans="1:9" hidden="1" x14ac:dyDescent="0.35">
      <c r="A68" s="181"/>
      <c r="B68" s="1"/>
      <c r="C68" s="180"/>
      <c r="D68" s="180"/>
      <c r="E68" s="180"/>
      <c r="F68" s="13"/>
      <c r="G68" s="13"/>
      <c r="H68" s="179"/>
      <c r="I68" s="178"/>
    </row>
    <row r="69" spans="1:9" hidden="1" x14ac:dyDescent="0.35">
      <c r="A69" s="181"/>
      <c r="B69" s="1"/>
      <c r="C69" s="180"/>
      <c r="D69" s="180"/>
      <c r="E69" s="180"/>
      <c r="F69" s="13"/>
      <c r="G69" s="13"/>
      <c r="H69" s="179"/>
      <c r="I69" s="178"/>
    </row>
    <row r="70" spans="1:9" hidden="1" x14ac:dyDescent="0.35">
      <c r="A70" s="181"/>
      <c r="B70" s="1"/>
      <c r="C70" s="180"/>
      <c r="D70" s="180"/>
      <c r="E70" s="180"/>
      <c r="F70" s="13"/>
      <c r="G70" s="13"/>
      <c r="H70" s="179"/>
      <c r="I70" s="178"/>
    </row>
    <row r="71" spans="1:9" hidden="1" x14ac:dyDescent="0.35">
      <c r="A71" s="181"/>
      <c r="B71" s="1"/>
      <c r="C71" s="180"/>
      <c r="D71" s="180"/>
      <c r="E71" s="180"/>
      <c r="F71" s="13"/>
      <c r="G71" s="13"/>
      <c r="H71" s="179"/>
      <c r="I71" s="178"/>
    </row>
    <row r="72" spans="1:9" hidden="1" x14ac:dyDescent="0.35">
      <c r="A72" s="181"/>
      <c r="B72" s="1"/>
      <c r="C72" s="180"/>
      <c r="D72" s="180"/>
      <c r="E72" s="180"/>
      <c r="F72" s="13"/>
      <c r="G72" s="13"/>
      <c r="H72" s="179"/>
      <c r="I72" s="178"/>
    </row>
    <row r="73" spans="1:9" hidden="1" x14ac:dyDescent="0.35">
      <c r="A73" s="181"/>
      <c r="B73" s="1"/>
      <c r="C73" s="180"/>
      <c r="D73" s="180"/>
      <c r="E73" s="180"/>
      <c r="F73" s="13"/>
      <c r="G73" s="13"/>
      <c r="H73" s="179"/>
      <c r="I73" s="178"/>
    </row>
    <row r="74" spans="1:9" hidden="1" x14ac:dyDescent="0.35">
      <c r="A74" s="181"/>
      <c r="B74" s="1"/>
      <c r="C74" s="180"/>
      <c r="D74" s="180"/>
      <c r="E74" s="180"/>
      <c r="F74" s="13"/>
      <c r="G74" s="13"/>
      <c r="H74" s="179"/>
      <c r="I74" s="178"/>
    </row>
    <row r="75" spans="1:9" hidden="1" x14ac:dyDescent="0.35">
      <c r="A75" s="181"/>
      <c r="B75" s="1"/>
      <c r="C75" s="180"/>
      <c r="D75" s="180"/>
      <c r="E75" s="180"/>
      <c r="F75" s="13"/>
      <c r="G75" s="13"/>
      <c r="H75" s="179"/>
      <c r="I75" s="178"/>
    </row>
    <row r="76" spans="1:9" hidden="1" x14ac:dyDescent="0.35">
      <c r="A76" s="181"/>
      <c r="B76" s="1"/>
      <c r="C76" s="180"/>
      <c r="D76" s="180"/>
      <c r="E76" s="180"/>
      <c r="F76" s="13"/>
      <c r="G76" s="13"/>
      <c r="H76" s="179"/>
      <c r="I76" s="178"/>
    </row>
    <row r="77" spans="1:9" hidden="1" x14ac:dyDescent="0.35">
      <c r="A77" s="181"/>
      <c r="B77" s="1"/>
      <c r="C77" s="180"/>
      <c r="D77" s="180"/>
      <c r="E77" s="180"/>
      <c r="F77" s="13"/>
      <c r="G77" s="13"/>
      <c r="H77" s="179"/>
      <c r="I77" s="178"/>
    </row>
    <row r="78" spans="1:9" hidden="1" x14ac:dyDescent="0.35">
      <c r="A78" s="181"/>
      <c r="B78" s="1"/>
      <c r="C78" s="180"/>
      <c r="D78" s="180"/>
      <c r="E78" s="180"/>
      <c r="F78" s="13"/>
      <c r="G78" s="13"/>
      <c r="H78" s="179"/>
      <c r="I78" s="178"/>
    </row>
    <row r="79" spans="1:9" hidden="1" x14ac:dyDescent="0.35">
      <c r="A79" s="181"/>
      <c r="B79" s="1"/>
      <c r="C79" s="180"/>
      <c r="D79" s="180"/>
      <c r="E79" s="180"/>
      <c r="F79" s="13"/>
      <c r="G79" s="13"/>
      <c r="H79" s="179"/>
      <c r="I79" s="178"/>
    </row>
    <row r="80" spans="1:9" hidden="1" x14ac:dyDescent="0.35">
      <c r="A80" s="181"/>
      <c r="B80" s="1"/>
      <c r="C80" s="180"/>
      <c r="D80" s="180"/>
      <c r="E80" s="180"/>
      <c r="F80" s="13"/>
      <c r="G80" s="13"/>
      <c r="H80" s="179"/>
      <c r="I80" s="178"/>
    </row>
    <row r="81" spans="1:9" hidden="1" x14ac:dyDescent="0.35">
      <c r="A81" s="181"/>
      <c r="B81" s="1"/>
      <c r="C81" s="180"/>
      <c r="D81" s="180"/>
      <c r="E81" s="180"/>
      <c r="F81" s="13"/>
      <c r="G81" s="13"/>
      <c r="H81" s="179"/>
      <c r="I81" s="178"/>
    </row>
    <row r="82" spans="1:9" hidden="1" x14ac:dyDescent="0.35">
      <c r="A82" s="181"/>
      <c r="B82" s="1"/>
      <c r="C82" s="180"/>
      <c r="D82" s="180"/>
      <c r="E82" s="180"/>
      <c r="F82" s="13"/>
      <c r="G82" s="13"/>
      <c r="H82" s="179"/>
      <c r="I82" s="178"/>
    </row>
    <row r="83" spans="1:9" hidden="1" x14ac:dyDescent="0.35">
      <c r="A83" s="181"/>
      <c r="B83" s="1"/>
      <c r="C83" s="180"/>
      <c r="D83" s="180"/>
      <c r="E83" s="180"/>
      <c r="F83" s="13"/>
      <c r="G83" s="13"/>
      <c r="H83" s="179"/>
      <c r="I83" s="178"/>
    </row>
    <row r="84" spans="1:9" hidden="1" x14ac:dyDescent="0.35">
      <c r="A84" s="181"/>
      <c r="B84" s="1"/>
      <c r="C84" s="180"/>
      <c r="D84" s="180"/>
      <c r="E84" s="180"/>
      <c r="F84" s="13"/>
      <c r="G84" s="13"/>
      <c r="H84" s="179"/>
      <c r="I84" s="178"/>
    </row>
    <row r="85" spans="1:9" hidden="1" x14ac:dyDescent="0.35">
      <c r="A85" s="181"/>
      <c r="B85" s="1"/>
      <c r="C85" s="180"/>
      <c r="D85" s="180"/>
      <c r="E85" s="180"/>
      <c r="F85" s="13"/>
      <c r="G85" s="13"/>
      <c r="H85" s="179"/>
      <c r="I85" s="178"/>
    </row>
    <row r="86" spans="1:9" hidden="1" x14ac:dyDescent="0.35">
      <c r="A86" s="181"/>
      <c r="B86" s="1"/>
      <c r="C86" s="180"/>
      <c r="D86" s="180"/>
      <c r="E86" s="180"/>
      <c r="F86" s="13"/>
      <c r="G86" s="13"/>
      <c r="H86" s="179"/>
      <c r="I86" s="178"/>
    </row>
    <row r="87" spans="1:9" hidden="1" x14ac:dyDescent="0.35">
      <c r="A87" s="181"/>
      <c r="B87" s="1"/>
      <c r="C87" s="180"/>
      <c r="D87" s="180"/>
      <c r="E87" s="180"/>
      <c r="F87" s="13"/>
      <c r="G87" s="13"/>
      <c r="H87" s="179"/>
      <c r="I87" s="178"/>
    </row>
    <row r="88" spans="1:9" hidden="1" x14ac:dyDescent="0.35">
      <c r="A88" s="181"/>
      <c r="B88" s="1"/>
      <c r="C88" s="180"/>
      <c r="D88" s="180"/>
      <c r="E88" s="180"/>
      <c r="F88" s="13"/>
      <c r="G88" s="13"/>
      <c r="H88" s="179"/>
      <c r="I88" s="178"/>
    </row>
    <row r="89" spans="1:9" hidden="1" x14ac:dyDescent="0.35">
      <c r="A89" s="181"/>
      <c r="B89" s="1"/>
      <c r="C89" s="180"/>
      <c r="D89" s="180"/>
      <c r="E89" s="180"/>
      <c r="F89" s="13"/>
      <c r="G89" s="13"/>
      <c r="H89" s="179"/>
      <c r="I89" s="178"/>
    </row>
    <row r="90" spans="1:9" hidden="1" x14ac:dyDescent="0.35">
      <c r="A90" s="181"/>
      <c r="B90" s="1"/>
      <c r="C90" s="180"/>
      <c r="D90" s="180"/>
      <c r="E90" s="180"/>
      <c r="F90" s="13"/>
      <c r="G90" s="13"/>
      <c r="H90" s="179"/>
      <c r="I90" s="178"/>
    </row>
    <row r="91" spans="1:9" hidden="1" x14ac:dyDescent="0.35">
      <c r="A91" s="181"/>
      <c r="B91" s="1"/>
      <c r="C91" s="180"/>
      <c r="D91" s="180"/>
      <c r="E91" s="180"/>
      <c r="F91" s="13"/>
      <c r="G91" s="13"/>
      <c r="H91" s="179"/>
      <c r="I91" s="178"/>
    </row>
    <row r="92" spans="1:9" hidden="1" x14ac:dyDescent="0.35">
      <c r="A92" s="181"/>
      <c r="B92" s="1"/>
      <c r="C92" s="180"/>
      <c r="D92" s="180"/>
      <c r="E92" s="180"/>
      <c r="F92" s="13"/>
      <c r="G92" s="13"/>
      <c r="H92" s="179"/>
      <c r="I92" s="178"/>
    </row>
    <row r="93" spans="1:9" hidden="1" x14ac:dyDescent="0.35">
      <c r="A93" s="181"/>
      <c r="B93" s="1"/>
      <c r="C93" s="180"/>
      <c r="D93" s="180"/>
      <c r="E93" s="180"/>
      <c r="F93" s="13"/>
      <c r="G93" s="13"/>
      <c r="H93" s="179"/>
      <c r="I93" s="178"/>
    </row>
    <row r="94" spans="1:9" hidden="1" x14ac:dyDescent="0.35">
      <c r="A94" s="181"/>
      <c r="B94" s="1"/>
      <c r="C94" s="180"/>
      <c r="D94" s="180"/>
      <c r="E94" s="180"/>
      <c r="F94" s="13"/>
      <c r="G94" s="13"/>
      <c r="H94" s="179"/>
      <c r="I94" s="178"/>
    </row>
    <row r="95" spans="1:9" hidden="1" x14ac:dyDescent="0.35">
      <c r="A95" s="181"/>
      <c r="B95" s="1"/>
      <c r="C95" s="180"/>
      <c r="D95" s="180"/>
      <c r="E95" s="180"/>
      <c r="F95" s="13"/>
      <c r="G95" s="13"/>
      <c r="H95" s="179"/>
      <c r="I95" s="178"/>
    </row>
    <row r="96" spans="1:9" hidden="1" x14ac:dyDescent="0.35">
      <c r="A96" s="181"/>
      <c r="B96" s="1"/>
      <c r="C96" s="180"/>
      <c r="D96" s="180"/>
      <c r="E96" s="180"/>
      <c r="F96" s="13"/>
      <c r="G96" s="13"/>
      <c r="H96" s="179"/>
      <c r="I96" s="178"/>
    </row>
    <row r="97" spans="1:9" hidden="1" x14ac:dyDescent="0.35">
      <c r="A97" s="181"/>
      <c r="B97" s="1"/>
      <c r="C97" s="180"/>
      <c r="D97" s="180"/>
      <c r="E97" s="180"/>
      <c r="F97" s="13"/>
      <c r="G97" s="13"/>
      <c r="H97" s="179"/>
      <c r="I97" s="178"/>
    </row>
    <row r="98" spans="1:9" hidden="1" x14ac:dyDescent="0.35">
      <c r="A98" s="181"/>
      <c r="B98" s="1"/>
      <c r="C98" s="180"/>
      <c r="D98" s="180"/>
      <c r="E98" s="180"/>
      <c r="F98" s="13"/>
      <c r="G98" s="13"/>
      <c r="H98" s="179"/>
      <c r="I98" s="178"/>
    </row>
    <row r="99" spans="1:9" hidden="1" x14ac:dyDescent="0.35">
      <c r="A99" s="181"/>
      <c r="B99" s="1"/>
      <c r="C99" s="180"/>
      <c r="D99" s="180"/>
      <c r="E99" s="180"/>
      <c r="F99" s="13"/>
      <c r="G99" s="13"/>
      <c r="H99" s="179"/>
      <c r="I99" s="178"/>
    </row>
    <row r="100" spans="1:9" hidden="1" x14ac:dyDescent="0.35">
      <c r="A100" s="181"/>
      <c r="B100" s="1"/>
      <c r="C100" s="180"/>
      <c r="D100" s="180"/>
      <c r="E100" s="180"/>
      <c r="F100" s="13"/>
      <c r="G100" s="13"/>
      <c r="H100" s="179"/>
      <c r="I100" s="178"/>
    </row>
    <row r="101" spans="1:9" hidden="1" x14ac:dyDescent="0.35">
      <c r="A101" s="181"/>
      <c r="B101" s="1"/>
      <c r="C101" s="180"/>
      <c r="D101" s="180"/>
      <c r="E101" s="180"/>
      <c r="F101" s="13"/>
      <c r="G101" s="13"/>
      <c r="H101" s="179"/>
      <c r="I101" s="178"/>
    </row>
    <row r="102" spans="1:9" hidden="1" x14ac:dyDescent="0.35">
      <c r="A102" s="181"/>
      <c r="B102" s="1"/>
      <c r="C102" s="180"/>
      <c r="D102" s="180"/>
      <c r="E102" s="180"/>
      <c r="F102" s="13"/>
      <c r="G102" s="13"/>
      <c r="H102" s="179"/>
      <c r="I102" s="178"/>
    </row>
    <row r="103" spans="1:9" hidden="1" x14ac:dyDescent="0.35">
      <c r="A103" s="181"/>
      <c r="B103" s="1"/>
      <c r="C103" s="180"/>
      <c r="D103" s="180"/>
      <c r="E103" s="180"/>
      <c r="F103" s="13"/>
      <c r="G103" s="13"/>
      <c r="H103" s="179"/>
      <c r="I103" s="178"/>
    </row>
    <row r="104" spans="1:9" hidden="1" x14ac:dyDescent="0.35">
      <c r="A104" s="181"/>
      <c r="B104" s="1"/>
      <c r="C104" s="180"/>
      <c r="D104" s="180"/>
      <c r="E104" s="180"/>
      <c r="F104" s="13"/>
      <c r="G104" s="13"/>
      <c r="H104" s="179"/>
      <c r="I104" s="178"/>
    </row>
    <row r="105" spans="1:9" hidden="1" x14ac:dyDescent="0.35">
      <c r="A105" s="181"/>
      <c r="B105" s="1"/>
      <c r="C105" s="180"/>
      <c r="D105" s="180"/>
      <c r="E105" s="180"/>
      <c r="F105" s="13"/>
      <c r="G105" s="13"/>
      <c r="H105" s="179"/>
      <c r="I105" s="178"/>
    </row>
    <row r="106" spans="1:9" hidden="1" x14ac:dyDescent="0.35">
      <c r="A106" s="181"/>
      <c r="B106" s="1"/>
      <c r="C106" s="180"/>
      <c r="D106" s="180"/>
      <c r="E106" s="180"/>
      <c r="F106" s="13"/>
      <c r="G106" s="13"/>
      <c r="H106" s="179"/>
      <c r="I106" s="178"/>
    </row>
    <row r="107" spans="1:9" hidden="1" x14ac:dyDescent="0.35">
      <c r="A107" s="181"/>
      <c r="B107" s="1"/>
      <c r="C107" s="180"/>
      <c r="D107" s="180"/>
      <c r="E107" s="180"/>
      <c r="F107" s="13"/>
      <c r="G107" s="13"/>
      <c r="H107" s="179"/>
      <c r="I107" s="178"/>
    </row>
    <row r="108" spans="1:9" hidden="1" x14ac:dyDescent="0.35">
      <c r="A108" s="181"/>
      <c r="B108" s="1"/>
      <c r="C108" s="180"/>
      <c r="D108" s="180"/>
      <c r="E108" s="180"/>
      <c r="F108" s="13"/>
      <c r="G108" s="13"/>
      <c r="H108" s="179"/>
      <c r="I108" s="178"/>
    </row>
    <row r="109" spans="1:9" hidden="1" x14ac:dyDescent="0.35">
      <c r="A109" s="181"/>
      <c r="B109" s="1"/>
      <c r="C109" s="180"/>
      <c r="D109" s="180"/>
      <c r="E109" s="180"/>
      <c r="F109" s="13"/>
      <c r="G109" s="13"/>
      <c r="H109" s="179"/>
      <c r="I109" s="178"/>
    </row>
    <row r="110" spans="1:9" hidden="1" x14ac:dyDescent="0.35">
      <c r="A110" s="181"/>
      <c r="B110" s="1"/>
      <c r="C110" s="180"/>
      <c r="D110" s="180"/>
      <c r="E110" s="180"/>
      <c r="F110" s="13"/>
      <c r="G110" s="13"/>
      <c r="H110" s="179"/>
      <c r="I110" s="178"/>
    </row>
    <row r="111" spans="1:9" hidden="1" x14ac:dyDescent="0.35">
      <c r="A111" s="181"/>
      <c r="B111" s="1"/>
      <c r="C111" s="180"/>
      <c r="D111" s="180"/>
      <c r="E111" s="180"/>
      <c r="F111" s="13"/>
      <c r="G111" s="13"/>
      <c r="H111" s="179"/>
      <c r="I111" s="178"/>
    </row>
    <row r="112" spans="1:9" hidden="1" x14ac:dyDescent="0.35">
      <c r="A112" s="181"/>
      <c r="B112" s="1"/>
      <c r="C112" s="180"/>
      <c r="D112" s="180"/>
      <c r="E112" s="180"/>
      <c r="F112" s="13"/>
      <c r="G112" s="13"/>
      <c r="H112" s="179"/>
      <c r="I112" s="178"/>
    </row>
    <row r="113" spans="1:9" hidden="1" x14ac:dyDescent="0.35">
      <c r="A113" s="181"/>
      <c r="B113" s="1"/>
      <c r="C113" s="180"/>
      <c r="D113" s="180"/>
      <c r="E113" s="180"/>
      <c r="F113" s="13"/>
      <c r="G113" s="13"/>
      <c r="H113" s="179"/>
      <c r="I113" s="178"/>
    </row>
    <row r="114" spans="1:9" hidden="1" x14ac:dyDescent="0.35">
      <c r="A114" s="181"/>
      <c r="B114" s="1"/>
      <c r="C114" s="180"/>
      <c r="D114" s="180"/>
      <c r="E114" s="180"/>
      <c r="F114" s="13"/>
      <c r="G114" s="13"/>
      <c r="H114" s="179"/>
      <c r="I114" s="178"/>
    </row>
    <row r="115" spans="1:9" x14ac:dyDescent="0.35">
      <c r="A115" s="181"/>
      <c r="B115" s="1"/>
      <c r="C115" s="180"/>
      <c r="D115" s="180"/>
      <c r="E115" s="180"/>
      <c r="F115" s="13"/>
      <c r="G115" s="13"/>
      <c r="H115" s="179"/>
      <c r="I115" s="178"/>
    </row>
    <row r="116" spans="1:9" x14ac:dyDescent="0.35">
      <c r="A116" s="181">
        <v>100</v>
      </c>
      <c r="B116" s="1"/>
      <c r="C116" s="180"/>
      <c r="D116" s="180"/>
      <c r="E116" s="180"/>
      <c r="F116" s="13"/>
      <c r="G116" s="13"/>
      <c r="H116" s="179"/>
      <c r="I116" s="178"/>
    </row>
    <row r="117" spans="1:9" ht="15" thickBot="1" x14ac:dyDescent="0.4">
      <c r="A117" s="177"/>
      <c r="B117" s="176" t="s">
        <v>44</v>
      </c>
      <c r="C117" s="175">
        <f>MAX(C17:C38)</f>
        <v>2.476851851851852E-2</v>
      </c>
      <c r="D117" s="175"/>
      <c r="E117" s="175"/>
      <c r="F117" s="174">
        <f>SUM(F119:F217)</f>
        <v>1.2118055555555556E-2</v>
      </c>
      <c r="G117" s="174">
        <f>SUM(G119:G217)</f>
        <v>3.7615740740740752E-3</v>
      </c>
      <c r="H117" s="174">
        <f>SUM(H119:H217)</f>
        <v>8.8888888888888889E-3</v>
      </c>
      <c r="I117" s="173"/>
    </row>
    <row r="118" spans="1:9" ht="15" thickBot="1" x14ac:dyDescent="0.4">
      <c r="A118" s="168"/>
      <c r="C118" s="167"/>
      <c r="D118" s="167"/>
      <c r="E118" s="167"/>
      <c r="F118" s="187">
        <f>F117/($F117+$G117+$H117)</f>
        <v>0.48925233644859806</v>
      </c>
      <c r="G118" s="172">
        <f>G117/($F117+$G117+$H117)</f>
        <v>0.15186915887850469</v>
      </c>
      <c r="H118" s="188">
        <f>H117/($F117+$G117+$H117)</f>
        <v>0.35887850467289711</v>
      </c>
    </row>
    <row r="119" spans="1:9" x14ac:dyDescent="0.35">
      <c r="A119" s="168"/>
      <c r="C119" s="169"/>
      <c r="D119" s="167"/>
      <c r="E119" s="167"/>
      <c r="F119" s="163">
        <f t="shared" ref="F119:H138" si="1">IF(F17="x",$E17,0)</f>
        <v>0</v>
      </c>
      <c r="G119" s="163">
        <f t="shared" si="1"/>
        <v>0</v>
      </c>
      <c r="H119" s="163">
        <f t="shared" si="1"/>
        <v>6.9444444444444447E-4</v>
      </c>
    </row>
    <row r="120" spans="1:9" x14ac:dyDescent="0.35">
      <c r="A120" s="168"/>
      <c r="B120" s="171"/>
      <c r="C120" s="169"/>
      <c r="F120" s="163">
        <f t="shared" si="1"/>
        <v>1.1458333333333333E-3</v>
      </c>
      <c r="G120" s="163">
        <f t="shared" si="1"/>
        <v>0</v>
      </c>
      <c r="H120" s="163">
        <f t="shared" si="1"/>
        <v>0</v>
      </c>
    </row>
    <row r="121" spans="1:9" x14ac:dyDescent="0.35">
      <c r="A121" s="168"/>
      <c r="C121" s="17"/>
      <c r="F121" s="163">
        <f t="shared" si="1"/>
        <v>0</v>
      </c>
      <c r="G121" s="163">
        <f t="shared" si="1"/>
        <v>0</v>
      </c>
      <c r="H121" s="163">
        <f t="shared" si="1"/>
        <v>1.3773148148148149E-3</v>
      </c>
    </row>
    <row r="122" spans="1:9" x14ac:dyDescent="0.35">
      <c r="A122" s="168"/>
      <c r="C122" s="169"/>
      <c r="F122" s="163">
        <f t="shared" si="1"/>
        <v>2.5462962962962939E-4</v>
      </c>
      <c r="G122" s="163">
        <f t="shared" si="1"/>
        <v>0</v>
      </c>
      <c r="H122" s="163">
        <f t="shared" si="1"/>
        <v>0</v>
      </c>
    </row>
    <row r="123" spans="1:9" x14ac:dyDescent="0.35">
      <c r="A123" s="168"/>
      <c r="C123" s="169"/>
      <c r="F123" s="163">
        <f t="shared" si="1"/>
        <v>0</v>
      </c>
      <c r="G123" s="163">
        <f t="shared" si="1"/>
        <v>4.3981481481481476E-4</v>
      </c>
      <c r="H123" s="163">
        <f t="shared" si="1"/>
        <v>0</v>
      </c>
    </row>
    <row r="124" spans="1:9" x14ac:dyDescent="0.35">
      <c r="A124" s="168"/>
      <c r="C124" s="167"/>
      <c r="F124" s="163">
        <f t="shared" si="1"/>
        <v>1.9907407407407408E-3</v>
      </c>
      <c r="G124" s="163">
        <f t="shared" si="1"/>
        <v>0</v>
      </c>
      <c r="H124" s="163">
        <f t="shared" si="1"/>
        <v>0</v>
      </c>
    </row>
    <row r="125" spans="1:9" x14ac:dyDescent="0.35">
      <c r="A125" s="168"/>
      <c r="C125" s="167"/>
      <c r="F125" s="163">
        <f t="shared" si="1"/>
        <v>1.967592592592585E-4</v>
      </c>
      <c r="G125" s="163">
        <f t="shared" si="1"/>
        <v>0</v>
      </c>
      <c r="H125" s="163">
        <f t="shared" si="1"/>
        <v>0</v>
      </c>
    </row>
    <row r="126" spans="1:9" x14ac:dyDescent="0.35">
      <c r="A126" s="168"/>
      <c r="C126" s="169"/>
      <c r="F126" s="163">
        <f t="shared" si="1"/>
        <v>3.8194444444444517E-4</v>
      </c>
      <c r="G126" s="163">
        <f t="shared" si="1"/>
        <v>0</v>
      </c>
      <c r="H126" s="163">
        <f t="shared" si="1"/>
        <v>0</v>
      </c>
    </row>
    <row r="127" spans="1:9" x14ac:dyDescent="0.35">
      <c r="A127" s="168"/>
      <c r="C127" s="170"/>
      <c r="F127" s="163">
        <f t="shared" si="1"/>
        <v>7.2916666666666616E-4</v>
      </c>
      <c r="G127" s="163">
        <f t="shared" si="1"/>
        <v>0</v>
      </c>
      <c r="H127" s="163">
        <f t="shared" si="1"/>
        <v>0</v>
      </c>
    </row>
    <row r="128" spans="1:9" x14ac:dyDescent="0.35">
      <c r="A128" s="168"/>
      <c r="C128" s="7"/>
      <c r="F128" s="163">
        <f t="shared" si="1"/>
        <v>1.3888888888888978E-4</v>
      </c>
      <c r="G128" s="163">
        <f t="shared" si="1"/>
        <v>0</v>
      </c>
      <c r="H128" s="163">
        <f t="shared" si="1"/>
        <v>0</v>
      </c>
    </row>
    <row r="129" spans="1:8" x14ac:dyDescent="0.35">
      <c r="A129" s="168"/>
      <c r="C129" s="169"/>
      <c r="F129" s="163">
        <f t="shared" si="1"/>
        <v>2.0601851851851866E-3</v>
      </c>
      <c r="G129" s="163">
        <f t="shared" si="1"/>
        <v>0</v>
      </c>
      <c r="H129" s="163">
        <f t="shared" si="1"/>
        <v>0</v>
      </c>
    </row>
    <row r="130" spans="1:8" x14ac:dyDescent="0.35">
      <c r="A130" s="168"/>
      <c r="C130" s="167"/>
      <c r="F130" s="163">
        <f t="shared" si="1"/>
        <v>2.0833333333333121E-4</v>
      </c>
      <c r="G130" s="163">
        <f t="shared" si="1"/>
        <v>0</v>
      </c>
      <c r="H130" s="163">
        <f t="shared" si="1"/>
        <v>0</v>
      </c>
    </row>
    <row r="131" spans="1:8" x14ac:dyDescent="0.35">
      <c r="A131" s="168"/>
      <c r="C131" s="167"/>
      <c r="F131" s="163">
        <f t="shared" si="1"/>
        <v>0</v>
      </c>
      <c r="G131" s="163">
        <f t="shared" si="1"/>
        <v>2.0717592592592593E-3</v>
      </c>
      <c r="H131" s="163">
        <f t="shared" si="1"/>
        <v>0</v>
      </c>
    </row>
    <row r="132" spans="1:8" x14ac:dyDescent="0.35">
      <c r="A132" s="168"/>
      <c r="C132" s="167"/>
      <c r="F132" s="163">
        <f t="shared" si="1"/>
        <v>0</v>
      </c>
      <c r="G132" s="163">
        <f t="shared" si="1"/>
        <v>0</v>
      </c>
      <c r="H132" s="163">
        <f t="shared" si="1"/>
        <v>1.2615740740740729E-3</v>
      </c>
    </row>
    <row r="133" spans="1:8" x14ac:dyDescent="0.35">
      <c r="A133" s="168"/>
      <c r="C133" s="167"/>
      <c r="F133" s="163">
        <f t="shared" si="1"/>
        <v>0</v>
      </c>
      <c r="G133" s="163">
        <f t="shared" si="1"/>
        <v>4.5138888888889006E-4</v>
      </c>
      <c r="H133" s="163">
        <f t="shared" si="1"/>
        <v>0</v>
      </c>
    </row>
    <row r="134" spans="1:8" x14ac:dyDescent="0.35">
      <c r="A134" s="168"/>
      <c r="C134" s="167"/>
      <c r="F134" s="163">
        <f t="shared" si="1"/>
        <v>2.6504629629629621E-3</v>
      </c>
      <c r="G134" s="163">
        <f t="shared" si="1"/>
        <v>0</v>
      </c>
      <c r="H134" s="163">
        <f t="shared" si="1"/>
        <v>0</v>
      </c>
    </row>
    <row r="135" spans="1:8" x14ac:dyDescent="0.35">
      <c r="A135" s="168"/>
      <c r="C135" s="167"/>
      <c r="F135" s="163">
        <f t="shared" si="1"/>
        <v>0</v>
      </c>
      <c r="G135" s="163">
        <f t="shared" si="1"/>
        <v>3.9351851851852221E-4</v>
      </c>
      <c r="H135" s="163">
        <f t="shared" si="1"/>
        <v>0</v>
      </c>
    </row>
    <row r="136" spans="1:8" x14ac:dyDescent="0.35">
      <c r="A136" s="168"/>
      <c r="C136" s="167"/>
      <c r="F136" s="163">
        <f t="shared" si="1"/>
        <v>0</v>
      </c>
      <c r="G136" s="163">
        <f t="shared" si="1"/>
        <v>4.0509259259258884E-4</v>
      </c>
      <c r="H136" s="163">
        <f t="shared" si="1"/>
        <v>0</v>
      </c>
    </row>
    <row r="137" spans="1:8" x14ac:dyDescent="0.35">
      <c r="A137" s="168"/>
      <c r="C137" s="167"/>
      <c r="F137" s="163">
        <f t="shared" si="1"/>
        <v>2.7777777777777957E-4</v>
      </c>
      <c r="G137" s="163">
        <f t="shared" si="1"/>
        <v>0</v>
      </c>
      <c r="H137" s="163">
        <f t="shared" si="1"/>
        <v>0</v>
      </c>
    </row>
    <row r="138" spans="1:8" x14ac:dyDescent="0.35">
      <c r="A138" s="168"/>
      <c r="C138" s="167"/>
      <c r="F138" s="163">
        <f t="shared" si="1"/>
        <v>2.0833333333333329E-3</v>
      </c>
      <c r="G138" s="163">
        <f t="shared" si="1"/>
        <v>0</v>
      </c>
      <c r="H138" s="163">
        <f t="shared" si="1"/>
        <v>0</v>
      </c>
    </row>
    <row r="139" spans="1:8" x14ac:dyDescent="0.35">
      <c r="A139" s="168"/>
      <c r="C139" s="167"/>
      <c r="F139" s="163">
        <f t="shared" ref="F139:H158" si="2">IF(F37="x",$E37,0)</f>
        <v>0</v>
      </c>
      <c r="G139" s="163">
        <f t="shared" si="2"/>
        <v>0</v>
      </c>
      <c r="H139" s="163">
        <f t="shared" si="2"/>
        <v>5.5555555555555566E-3</v>
      </c>
    </row>
    <row r="140" spans="1:8" x14ac:dyDescent="0.35">
      <c r="A140" s="168"/>
      <c r="C140" s="167"/>
      <c r="F140" s="163">
        <f t="shared" si="2"/>
        <v>0</v>
      </c>
      <c r="G140" s="163">
        <f t="shared" si="2"/>
        <v>0</v>
      </c>
      <c r="H140" s="163">
        <f t="shared" si="2"/>
        <v>0</v>
      </c>
    </row>
    <row r="141" spans="1:8" x14ac:dyDescent="0.35">
      <c r="A141" s="168"/>
      <c r="C141" s="167"/>
      <c r="F141" s="163">
        <f t="shared" si="2"/>
        <v>0</v>
      </c>
      <c r="G141" s="163">
        <f t="shared" si="2"/>
        <v>0</v>
      </c>
      <c r="H141" s="163">
        <f t="shared" si="2"/>
        <v>0</v>
      </c>
    </row>
    <row r="142" spans="1:8" x14ac:dyDescent="0.35">
      <c r="A142" s="168"/>
      <c r="C142" s="167"/>
      <c r="F142" s="163">
        <f t="shared" si="2"/>
        <v>0</v>
      </c>
      <c r="G142" s="163">
        <f t="shared" si="2"/>
        <v>0</v>
      </c>
      <c r="H142" s="163">
        <f t="shared" si="2"/>
        <v>0</v>
      </c>
    </row>
    <row r="143" spans="1:8" x14ac:dyDescent="0.35">
      <c r="A143" s="168"/>
      <c r="C143" s="167"/>
      <c r="F143" s="163">
        <f t="shared" si="2"/>
        <v>0</v>
      </c>
      <c r="G143" s="163">
        <f t="shared" si="2"/>
        <v>0</v>
      </c>
      <c r="H143" s="163">
        <f t="shared" si="2"/>
        <v>0</v>
      </c>
    </row>
    <row r="144" spans="1:8" x14ac:dyDescent="0.35">
      <c r="A144" s="168"/>
      <c r="C144" s="167"/>
      <c r="F144" s="163">
        <f t="shared" si="2"/>
        <v>0</v>
      </c>
      <c r="G144" s="163">
        <f t="shared" si="2"/>
        <v>0</v>
      </c>
      <c r="H144" s="163">
        <f t="shared" si="2"/>
        <v>0</v>
      </c>
    </row>
    <row r="145" spans="1:8" x14ac:dyDescent="0.35">
      <c r="A145" s="168"/>
      <c r="C145" s="167"/>
      <c r="F145" s="163">
        <f t="shared" si="2"/>
        <v>0</v>
      </c>
      <c r="G145" s="163">
        <f t="shared" si="2"/>
        <v>0</v>
      </c>
      <c r="H145" s="163">
        <f t="shared" si="2"/>
        <v>0</v>
      </c>
    </row>
    <row r="146" spans="1:8" x14ac:dyDescent="0.35">
      <c r="A146" s="168"/>
      <c r="C146" s="167"/>
      <c r="F146" s="163">
        <f t="shared" si="2"/>
        <v>0</v>
      </c>
      <c r="G146" s="163">
        <f t="shared" si="2"/>
        <v>0</v>
      </c>
      <c r="H146" s="163">
        <f t="shared" si="2"/>
        <v>0</v>
      </c>
    </row>
    <row r="147" spans="1:8" x14ac:dyDescent="0.35">
      <c r="A147" s="168"/>
      <c r="C147" s="167"/>
      <c r="F147" s="163">
        <f t="shared" si="2"/>
        <v>0</v>
      </c>
      <c r="G147" s="163">
        <f t="shared" si="2"/>
        <v>0</v>
      </c>
      <c r="H147" s="163">
        <f t="shared" si="2"/>
        <v>0</v>
      </c>
    </row>
    <row r="148" spans="1:8" x14ac:dyDescent="0.35">
      <c r="A148" s="168"/>
      <c r="C148" s="167"/>
      <c r="F148" s="163">
        <f t="shared" si="2"/>
        <v>0</v>
      </c>
      <c r="G148" s="163">
        <f t="shared" si="2"/>
        <v>0</v>
      </c>
      <c r="H148" s="163">
        <f t="shared" si="2"/>
        <v>0</v>
      </c>
    </row>
    <row r="149" spans="1:8" x14ac:dyDescent="0.35">
      <c r="A149" s="168"/>
      <c r="C149" s="167"/>
      <c r="F149" s="163">
        <f t="shared" si="2"/>
        <v>0</v>
      </c>
      <c r="G149" s="163">
        <f t="shared" si="2"/>
        <v>0</v>
      </c>
      <c r="H149" s="163">
        <f t="shared" si="2"/>
        <v>0</v>
      </c>
    </row>
    <row r="150" spans="1:8" x14ac:dyDescent="0.35">
      <c r="A150" s="168"/>
      <c r="C150" s="167"/>
      <c r="F150" s="163">
        <f t="shared" si="2"/>
        <v>0</v>
      </c>
      <c r="G150" s="163">
        <f t="shared" si="2"/>
        <v>0</v>
      </c>
      <c r="H150" s="163">
        <f t="shared" si="2"/>
        <v>0</v>
      </c>
    </row>
    <row r="151" spans="1:8" x14ac:dyDescent="0.35">
      <c r="A151" s="168"/>
      <c r="C151" s="167"/>
      <c r="F151" s="163">
        <f t="shared" si="2"/>
        <v>0</v>
      </c>
      <c r="G151" s="163">
        <f t="shared" si="2"/>
        <v>0</v>
      </c>
      <c r="H151" s="163">
        <f t="shared" si="2"/>
        <v>0</v>
      </c>
    </row>
    <row r="152" spans="1:8" x14ac:dyDescent="0.35">
      <c r="A152" s="168"/>
      <c r="C152" s="167"/>
      <c r="F152" s="163">
        <f t="shared" si="2"/>
        <v>0</v>
      </c>
      <c r="G152" s="163">
        <f t="shared" si="2"/>
        <v>0</v>
      </c>
      <c r="H152" s="163">
        <f t="shared" si="2"/>
        <v>0</v>
      </c>
    </row>
    <row r="153" spans="1:8" x14ac:dyDescent="0.35">
      <c r="A153" s="168"/>
      <c r="C153" s="167"/>
      <c r="F153" s="163">
        <f t="shared" si="2"/>
        <v>0</v>
      </c>
      <c r="G153" s="163">
        <f t="shared" si="2"/>
        <v>0</v>
      </c>
      <c r="H153" s="163">
        <f t="shared" si="2"/>
        <v>0</v>
      </c>
    </row>
    <row r="154" spans="1:8" x14ac:dyDescent="0.35">
      <c r="A154" s="168"/>
      <c r="C154" s="167"/>
      <c r="F154" s="163">
        <f t="shared" si="2"/>
        <v>0</v>
      </c>
      <c r="G154" s="163">
        <f t="shared" si="2"/>
        <v>0</v>
      </c>
      <c r="H154" s="163">
        <f t="shared" si="2"/>
        <v>0</v>
      </c>
    </row>
    <row r="155" spans="1:8" x14ac:dyDescent="0.35">
      <c r="A155" s="168"/>
      <c r="C155" s="167"/>
      <c r="F155" s="163">
        <f t="shared" si="2"/>
        <v>0</v>
      </c>
      <c r="G155" s="163">
        <f t="shared" si="2"/>
        <v>0</v>
      </c>
      <c r="H155" s="163">
        <f t="shared" si="2"/>
        <v>0</v>
      </c>
    </row>
    <row r="156" spans="1:8" x14ac:dyDescent="0.35">
      <c r="A156" s="168"/>
      <c r="C156" s="167"/>
      <c r="F156" s="163">
        <f t="shared" si="2"/>
        <v>0</v>
      </c>
      <c r="G156" s="163">
        <f t="shared" si="2"/>
        <v>0</v>
      </c>
      <c r="H156" s="163">
        <f t="shared" si="2"/>
        <v>0</v>
      </c>
    </row>
    <row r="157" spans="1:8" x14ac:dyDescent="0.35">
      <c r="A157" s="168"/>
      <c r="C157" s="167"/>
      <c r="F157" s="163">
        <f t="shared" si="2"/>
        <v>0</v>
      </c>
      <c r="G157" s="163">
        <f t="shared" si="2"/>
        <v>0</v>
      </c>
      <c r="H157" s="163">
        <f t="shared" si="2"/>
        <v>0</v>
      </c>
    </row>
    <row r="158" spans="1:8" x14ac:dyDescent="0.35">
      <c r="A158" s="168"/>
      <c r="C158" s="167"/>
      <c r="F158" s="163">
        <f t="shared" si="2"/>
        <v>0</v>
      </c>
      <c r="G158" s="163">
        <f t="shared" si="2"/>
        <v>0</v>
      </c>
      <c r="H158" s="163">
        <f t="shared" si="2"/>
        <v>0</v>
      </c>
    </row>
    <row r="159" spans="1:8" x14ac:dyDescent="0.35">
      <c r="A159" s="168"/>
      <c r="C159" s="167"/>
      <c r="F159" s="163">
        <f t="shared" ref="F159:H178" si="3">IF(F57="x",$E57,0)</f>
        <v>0</v>
      </c>
      <c r="G159" s="163">
        <f t="shared" si="3"/>
        <v>0</v>
      </c>
      <c r="H159" s="163">
        <f t="shared" si="3"/>
        <v>0</v>
      </c>
    </row>
    <row r="160" spans="1:8" x14ac:dyDescent="0.35">
      <c r="A160" s="168"/>
      <c r="C160" s="167"/>
      <c r="F160" s="163">
        <f t="shared" si="3"/>
        <v>0</v>
      </c>
      <c r="G160" s="163">
        <f t="shared" si="3"/>
        <v>0</v>
      </c>
      <c r="H160" s="163">
        <f t="shared" si="3"/>
        <v>0</v>
      </c>
    </row>
    <row r="161" spans="1:9" x14ac:dyDescent="0.35">
      <c r="A161" s="168"/>
      <c r="C161" s="167"/>
      <c r="F161" s="163">
        <f t="shared" si="3"/>
        <v>0</v>
      </c>
      <c r="G161" s="163">
        <f t="shared" si="3"/>
        <v>0</v>
      </c>
      <c r="H161" s="163">
        <f t="shared" si="3"/>
        <v>0</v>
      </c>
    </row>
    <row r="162" spans="1:9" x14ac:dyDescent="0.35">
      <c r="A162" s="168"/>
      <c r="C162" s="167"/>
      <c r="F162" s="163">
        <f t="shared" si="3"/>
        <v>0</v>
      </c>
      <c r="G162" s="163">
        <f t="shared" si="3"/>
        <v>0</v>
      </c>
      <c r="H162" s="163">
        <f t="shared" si="3"/>
        <v>0</v>
      </c>
    </row>
    <row r="163" spans="1:9" x14ac:dyDescent="0.35">
      <c r="A163" s="168"/>
      <c r="C163" s="167"/>
      <c r="F163" s="163">
        <f t="shared" si="3"/>
        <v>0</v>
      </c>
      <c r="G163" s="163">
        <f t="shared" si="3"/>
        <v>0</v>
      </c>
      <c r="H163" s="163">
        <f t="shared" si="3"/>
        <v>0</v>
      </c>
    </row>
    <row r="164" spans="1:9" x14ac:dyDescent="0.35">
      <c r="A164" s="168"/>
      <c r="C164" s="167"/>
      <c r="F164" s="163">
        <f t="shared" si="3"/>
        <v>0</v>
      </c>
      <c r="G164" s="163">
        <f t="shared" si="3"/>
        <v>0</v>
      </c>
      <c r="H164" s="163">
        <f t="shared" si="3"/>
        <v>0</v>
      </c>
    </row>
    <row r="165" spans="1:9" x14ac:dyDescent="0.35">
      <c r="A165" s="168"/>
      <c r="C165" s="167"/>
      <c r="F165" s="163">
        <f t="shared" si="3"/>
        <v>0</v>
      </c>
      <c r="G165" s="163">
        <f t="shared" si="3"/>
        <v>0</v>
      </c>
      <c r="H165" s="163">
        <f t="shared" si="3"/>
        <v>0</v>
      </c>
    </row>
    <row r="166" spans="1:9" x14ac:dyDescent="0.35">
      <c r="A166" s="168"/>
      <c r="C166" s="167"/>
      <c r="F166" s="163">
        <f t="shared" si="3"/>
        <v>0</v>
      </c>
      <c r="G166" s="163">
        <f t="shared" si="3"/>
        <v>0</v>
      </c>
      <c r="H166" s="163">
        <f t="shared" si="3"/>
        <v>0</v>
      </c>
    </row>
    <row r="167" spans="1:9" x14ac:dyDescent="0.35">
      <c r="A167" s="168"/>
      <c r="C167" s="167"/>
      <c r="F167" s="163">
        <f t="shared" si="3"/>
        <v>0</v>
      </c>
      <c r="G167" s="163">
        <f t="shared" si="3"/>
        <v>0</v>
      </c>
      <c r="H167" s="163">
        <f t="shared" si="3"/>
        <v>0</v>
      </c>
    </row>
    <row r="168" spans="1:9" x14ac:dyDescent="0.35">
      <c r="A168" s="168"/>
      <c r="C168" s="167"/>
      <c r="F168" s="163">
        <f t="shared" si="3"/>
        <v>0</v>
      </c>
      <c r="G168" s="163">
        <f t="shared" si="3"/>
        <v>0</v>
      </c>
      <c r="H168" s="163">
        <f t="shared" si="3"/>
        <v>0</v>
      </c>
    </row>
    <row r="169" spans="1:9" x14ac:dyDescent="0.35">
      <c r="A169" s="168"/>
      <c r="C169" s="167"/>
      <c r="F169" s="163">
        <f t="shared" si="3"/>
        <v>0</v>
      </c>
      <c r="G169" s="163">
        <f t="shared" si="3"/>
        <v>0</v>
      </c>
      <c r="H169" s="163">
        <f t="shared" si="3"/>
        <v>0</v>
      </c>
    </row>
    <row r="170" spans="1:9" x14ac:dyDescent="0.35">
      <c r="A170" s="168"/>
      <c r="C170" s="167"/>
      <c r="F170" s="163">
        <f t="shared" si="3"/>
        <v>0</v>
      </c>
      <c r="G170" s="163">
        <f t="shared" si="3"/>
        <v>0</v>
      </c>
      <c r="H170" s="163">
        <f t="shared" si="3"/>
        <v>0</v>
      </c>
    </row>
    <row r="171" spans="1:9" x14ac:dyDescent="0.35">
      <c r="A171" s="161"/>
      <c r="B171" s="158"/>
      <c r="C171" s="160"/>
      <c r="D171" s="158"/>
      <c r="E171" s="158"/>
      <c r="F171" s="163">
        <f t="shared" si="3"/>
        <v>0</v>
      </c>
      <c r="G171" s="163">
        <f t="shared" si="3"/>
        <v>0</v>
      </c>
      <c r="H171" s="163">
        <f t="shared" si="3"/>
        <v>0</v>
      </c>
      <c r="I171" s="158"/>
    </row>
    <row r="172" spans="1:9" x14ac:dyDescent="0.35">
      <c r="A172" s="161"/>
      <c r="B172" s="158"/>
      <c r="C172" s="160"/>
      <c r="D172" s="158"/>
      <c r="E172" s="158"/>
      <c r="F172" s="163">
        <f t="shared" si="3"/>
        <v>0</v>
      </c>
      <c r="G172" s="163">
        <f t="shared" si="3"/>
        <v>0</v>
      </c>
      <c r="H172" s="163">
        <f t="shared" si="3"/>
        <v>0</v>
      </c>
      <c r="I172" s="158"/>
    </row>
    <row r="173" spans="1:9" x14ac:dyDescent="0.35">
      <c r="A173" s="166"/>
      <c r="B173" s="164"/>
      <c r="C173" s="165"/>
      <c r="D173" s="164"/>
      <c r="E173" s="164"/>
      <c r="F173" s="163">
        <f t="shared" si="3"/>
        <v>0</v>
      </c>
      <c r="G173" s="163">
        <f t="shared" si="3"/>
        <v>0</v>
      </c>
      <c r="H173" s="163">
        <f t="shared" si="3"/>
        <v>0</v>
      </c>
      <c r="I173" s="164"/>
    </row>
    <row r="174" spans="1:9" x14ac:dyDescent="0.35">
      <c r="A174" s="161"/>
      <c r="B174" s="158"/>
      <c r="C174" s="160"/>
      <c r="D174" s="160"/>
      <c r="E174" s="160"/>
      <c r="F174" s="163">
        <f t="shared" si="3"/>
        <v>0</v>
      </c>
      <c r="G174" s="163">
        <f t="shared" si="3"/>
        <v>0</v>
      </c>
      <c r="H174" s="163">
        <f t="shared" si="3"/>
        <v>0</v>
      </c>
      <c r="I174" s="158"/>
    </row>
    <row r="175" spans="1:9" x14ac:dyDescent="0.35">
      <c r="A175" s="161"/>
      <c r="B175" s="158"/>
      <c r="C175" s="160"/>
      <c r="D175" s="160"/>
      <c r="E175" s="160"/>
      <c r="F175" s="163">
        <f t="shared" si="3"/>
        <v>0</v>
      </c>
      <c r="G175" s="163">
        <f t="shared" si="3"/>
        <v>0</v>
      </c>
      <c r="H175" s="163">
        <f t="shared" si="3"/>
        <v>0</v>
      </c>
      <c r="I175" s="158"/>
    </row>
    <row r="176" spans="1:9" x14ac:dyDescent="0.35">
      <c r="A176" s="161"/>
      <c r="B176" s="158"/>
      <c r="C176" s="160"/>
      <c r="D176" s="160"/>
      <c r="E176" s="160"/>
      <c r="F176" s="163">
        <f t="shared" si="3"/>
        <v>0</v>
      </c>
      <c r="G176" s="163">
        <f t="shared" si="3"/>
        <v>0</v>
      </c>
      <c r="H176" s="163">
        <f t="shared" si="3"/>
        <v>0</v>
      </c>
      <c r="I176" s="158"/>
    </row>
    <row r="177" spans="1:9" x14ac:dyDescent="0.35">
      <c r="A177" s="161"/>
      <c r="B177" s="158"/>
      <c r="C177" s="160"/>
      <c r="D177" s="160"/>
      <c r="E177" s="160"/>
      <c r="F177" s="163">
        <f t="shared" si="3"/>
        <v>0</v>
      </c>
      <c r="G177" s="163">
        <f t="shared" si="3"/>
        <v>0</v>
      </c>
      <c r="H177" s="163">
        <f t="shared" si="3"/>
        <v>0</v>
      </c>
      <c r="I177" s="158"/>
    </row>
    <row r="178" spans="1:9" x14ac:dyDescent="0.35">
      <c r="A178" s="161"/>
      <c r="B178" s="158"/>
      <c r="C178" s="160"/>
      <c r="D178" s="160"/>
      <c r="E178" s="160"/>
      <c r="F178" s="163">
        <f t="shared" si="3"/>
        <v>0</v>
      </c>
      <c r="G178" s="163">
        <f t="shared" si="3"/>
        <v>0</v>
      </c>
      <c r="H178" s="163">
        <f t="shared" si="3"/>
        <v>0</v>
      </c>
      <c r="I178" s="158"/>
    </row>
    <row r="179" spans="1:9" x14ac:dyDescent="0.35">
      <c r="A179" s="161"/>
      <c r="B179" s="158"/>
      <c r="C179" s="160"/>
      <c r="D179" s="160"/>
      <c r="E179" s="160"/>
      <c r="F179" s="163">
        <f t="shared" ref="F179:H198" si="4">IF(F77="x",$E77,0)</f>
        <v>0</v>
      </c>
      <c r="G179" s="163">
        <f t="shared" si="4"/>
        <v>0</v>
      </c>
      <c r="H179" s="163">
        <f t="shared" si="4"/>
        <v>0</v>
      </c>
      <c r="I179" s="158"/>
    </row>
    <row r="180" spans="1:9" x14ac:dyDescent="0.35">
      <c r="A180" s="161"/>
      <c r="B180" s="158"/>
      <c r="C180" s="160"/>
      <c r="D180" s="160"/>
      <c r="E180" s="160"/>
      <c r="F180" s="163">
        <f t="shared" si="4"/>
        <v>0</v>
      </c>
      <c r="G180" s="163">
        <f t="shared" si="4"/>
        <v>0</v>
      </c>
      <c r="H180" s="163">
        <f t="shared" si="4"/>
        <v>0</v>
      </c>
      <c r="I180" s="158"/>
    </row>
    <row r="181" spans="1:9" x14ac:dyDescent="0.35">
      <c r="A181" s="161"/>
      <c r="B181" s="158"/>
      <c r="C181" s="160"/>
      <c r="D181" s="160"/>
      <c r="E181" s="160"/>
      <c r="F181" s="163">
        <f t="shared" si="4"/>
        <v>0</v>
      </c>
      <c r="G181" s="163">
        <f t="shared" si="4"/>
        <v>0</v>
      </c>
      <c r="H181" s="163">
        <f t="shared" si="4"/>
        <v>0</v>
      </c>
      <c r="I181" s="158"/>
    </row>
    <row r="182" spans="1:9" x14ac:dyDescent="0.35">
      <c r="A182" s="161"/>
      <c r="B182" s="158"/>
      <c r="C182" s="160"/>
      <c r="D182" s="160"/>
      <c r="E182" s="160"/>
      <c r="F182" s="163">
        <f t="shared" si="4"/>
        <v>0</v>
      </c>
      <c r="G182" s="163">
        <f t="shared" si="4"/>
        <v>0</v>
      </c>
      <c r="H182" s="163">
        <f t="shared" si="4"/>
        <v>0</v>
      </c>
      <c r="I182" s="158"/>
    </row>
    <row r="183" spans="1:9" x14ac:dyDescent="0.35">
      <c r="A183" s="161"/>
      <c r="B183" s="158"/>
      <c r="C183" s="160"/>
      <c r="D183" s="160"/>
      <c r="E183" s="160"/>
      <c r="F183" s="163">
        <f t="shared" si="4"/>
        <v>0</v>
      </c>
      <c r="G183" s="163">
        <f t="shared" si="4"/>
        <v>0</v>
      </c>
      <c r="H183" s="163">
        <f t="shared" si="4"/>
        <v>0</v>
      </c>
      <c r="I183" s="158"/>
    </row>
    <row r="184" spans="1:9" x14ac:dyDescent="0.35">
      <c r="A184" s="161"/>
      <c r="B184" s="158"/>
      <c r="C184" s="160"/>
      <c r="D184" s="160"/>
      <c r="E184" s="160"/>
      <c r="F184" s="163">
        <f t="shared" si="4"/>
        <v>0</v>
      </c>
      <c r="G184" s="163">
        <f t="shared" si="4"/>
        <v>0</v>
      </c>
      <c r="H184" s="163">
        <f t="shared" si="4"/>
        <v>0</v>
      </c>
      <c r="I184" s="158"/>
    </row>
    <row r="185" spans="1:9" x14ac:dyDescent="0.35">
      <c r="A185" s="161"/>
      <c r="B185" s="158"/>
      <c r="C185" s="160"/>
      <c r="D185" s="160"/>
      <c r="E185" s="160"/>
      <c r="F185" s="163">
        <f t="shared" si="4"/>
        <v>0</v>
      </c>
      <c r="G185" s="163">
        <f t="shared" si="4"/>
        <v>0</v>
      </c>
      <c r="H185" s="163">
        <f t="shared" si="4"/>
        <v>0</v>
      </c>
      <c r="I185" s="158"/>
    </row>
    <row r="186" spans="1:9" x14ac:dyDescent="0.35">
      <c r="A186" s="161"/>
      <c r="B186" s="158"/>
      <c r="C186" s="160"/>
      <c r="D186" s="160"/>
      <c r="E186" s="160"/>
      <c r="F186" s="163">
        <f t="shared" si="4"/>
        <v>0</v>
      </c>
      <c r="G186" s="163">
        <f t="shared" si="4"/>
        <v>0</v>
      </c>
      <c r="H186" s="163">
        <f t="shared" si="4"/>
        <v>0</v>
      </c>
      <c r="I186" s="158"/>
    </row>
    <row r="187" spans="1:9" x14ac:dyDescent="0.35">
      <c r="A187" s="161"/>
      <c r="B187" s="158"/>
      <c r="C187" s="160"/>
      <c r="D187" s="160"/>
      <c r="E187" s="160"/>
      <c r="F187" s="163">
        <f t="shared" si="4"/>
        <v>0</v>
      </c>
      <c r="G187" s="163">
        <f t="shared" si="4"/>
        <v>0</v>
      </c>
      <c r="H187" s="163">
        <f t="shared" si="4"/>
        <v>0</v>
      </c>
      <c r="I187" s="158"/>
    </row>
    <row r="188" spans="1:9" x14ac:dyDescent="0.35">
      <c r="A188" s="161"/>
      <c r="B188" s="158"/>
      <c r="C188" s="160"/>
      <c r="D188" s="160"/>
      <c r="E188" s="160"/>
      <c r="F188" s="163">
        <f t="shared" si="4"/>
        <v>0</v>
      </c>
      <c r="G188" s="163">
        <f t="shared" si="4"/>
        <v>0</v>
      </c>
      <c r="H188" s="163">
        <f t="shared" si="4"/>
        <v>0</v>
      </c>
      <c r="I188" s="158"/>
    </row>
    <row r="189" spans="1:9" x14ac:dyDescent="0.35">
      <c r="A189" s="161"/>
      <c r="B189" s="158"/>
      <c r="C189" s="160"/>
      <c r="D189" s="160"/>
      <c r="E189" s="160"/>
      <c r="F189" s="163">
        <f t="shared" si="4"/>
        <v>0</v>
      </c>
      <c r="G189" s="163">
        <f t="shared" si="4"/>
        <v>0</v>
      </c>
      <c r="H189" s="163">
        <f t="shared" si="4"/>
        <v>0</v>
      </c>
      <c r="I189" s="158"/>
    </row>
    <row r="190" spans="1:9" x14ac:dyDescent="0.35">
      <c r="A190" s="161"/>
      <c r="B190" s="158"/>
      <c r="C190" s="160"/>
      <c r="D190" s="160"/>
      <c r="E190" s="160"/>
      <c r="F190" s="163">
        <f t="shared" si="4"/>
        <v>0</v>
      </c>
      <c r="G190" s="163">
        <f t="shared" si="4"/>
        <v>0</v>
      </c>
      <c r="H190" s="163">
        <f t="shared" si="4"/>
        <v>0</v>
      </c>
      <c r="I190" s="158"/>
    </row>
    <row r="191" spans="1:9" x14ac:dyDescent="0.35">
      <c r="A191" s="161"/>
      <c r="B191" s="158"/>
      <c r="C191" s="160"/>
      <c r="D191" s="160"/>
      <c r="E191" s="160"/>
      <c r="F191" s="163">
        <f t="shared" si="4"/>
        <v>0</v>
      </c>
      <c r="G191" s="163">
        <f t="shared" si="4"/>
        <v>0</v>
      </c>
      <c r="H191" s="163">
        <f t="shared" si="4"/>
        <v>0</v>
      </c>
      <c r="I191" s="158"/>
    </row>
    <row r="192" spans="1:9" x14ac:dyDescent="0.35">
      <c r="A192" s="161"/>
      <c r="B192" s="158"/>
      <c r="C192" s="160"/>
      <c r="D192" s="160"/>
      <c r="E192" s="160"/>
      <c r="F192" s="163">
        <f t="shared" si="4"/>
        <v>0</v>
      </c>
      <c r="G192" s="163">
        <f t="shared" si="4"/>
        <v>0</v>
      </c>
      <c r="H192" s="163">
        <f t="shared" si="4"/>
        <v>0</v>
      </c>
      <c r="I192" s="158"/>
    </row>
    <row r="193" spans="1:9" x14ac:dyDescent="0.35">
      <c r="A193" s="161"/>
      <c r="B193" s="158"/>
      <c r="C193" s="160"/>
      <c r="D193" s="160"/>
      <c r="E193" s="160"/>
      <c r="F193" s="163">
        <f t="shared" si="4"/>
        <v>0</v>
      </c>
      <c r="G193" s="163">
        <f t="shared" si="4"/>
        <v>0</v>
      </c>
      <c r="H193" s="163">
        <f t="shared" si="4"/>
        <v>0</v>
      </c>
      <c r="I193" s="158"/>
    </row>
    <row r="194" spans="1:9" x14ac:dyDescent="0.35">
      <c r="A194" s="161"/>
      <c r="B194" s="158"/>
      <c r="C194" s="160"/>
      <c r="D194" s="160"/>
      <c r="E194" s="160"/>
      <c r="F194" s="163">
        <f t="shared" si="4"/>
        <v>0</v>
      </c>
      <c r="G194" s="163">
        <f t="shared" si="4"/>
        <v>0</v>
      </c>
      <c r="H194" s="163">
        <f t="shared" si="4"/>
        <v>0</v>
      </c>
      <c r="I194" s="158"/>
    </row>
    <row r="195" spans="1:9" x14ac:dyDescent="0.35">
      <c r="A195" s="161"/>
      <c r="B195" s="158"/>
      <c r="C195" s="160"/>
      <c r="D195" s="160"/>
      <c r="E195" s="160"/>
      <c r="F195" s="163">
        <f t="shared" si="4"/>
        <v>0</v>
      </c>
      <c r="G195" s="163">
        <f t="shared" si="4"/>
        <v>0</v>
      </c>
      <c r="H195" s="163">
        <f t="shared" si="4"/>
        <v>0</v>
      </c>
      <c r="I195" s="158"/>
    </row>
    <row r="196" spans="1:9" x14ac:dyDescent="0.35">
      <c r="A196" s="161"/>
      <c r="B196" s="158"/>
      <c r="C196" s="160"/>
      <c r="D196" s="160"/>
      <c r="E196" s="160"/>
      <c r="F196" s="163">
        <f t="shared" si="4"/>
        <v>0</v>
      </c>
      <c r="G196" s="163">
        <f t="shared" si="4"/>
        <v>0</v>
      </c>
      <c r="H196" s="163">
        <f t="shared" si="4"/>
        <v>0</v>
      </c>
      <c r="I196" s="158"/>
    </row>
    <row r="197" spans="1:9" x14ac:dyDescent="0.35">
      <c r="A197" s="161"/>
      <c r="B197" s="158"/>
      <c r="C197" s="160"/>
      <c r="D197" s="160"/>
      <c r="E197" s="160"/>
      <c r="F197" s="163">
        <f t="shared" si="4"/>
        <v>0</v>
      </c>
      <c r="G197" s="163">
        <f t="shared" si="4"/>
        <v>0</v>
      </c>
      <c r="H197" s="163">
        <f t="shared" si="4"/>
        <v>0</v>
      </c>
      <c r="I197" s="158"/>
    </row>
    <row r="198" spans="1:9" x14ac:dyDescent="0.35">
      <c r="A198" s="161"/>
      <c r="B198" s="158"/>
      <c r="C198" s="160"/>
      <c r="D198" s="160"/>
      <c r="E198" s="160"/>
      <c r="F198" s="163">
        <f t="shared" si="4"/>
        <v>0</v>
      </c>
      <c r="G198" s="163">
        <f t="shared" si="4"/>
        <v>0</v>
      </c>
      <c r="H198" s="163">
        <f t="shared" si="4"/>
        <v>0</v>
      </c>
      <c r="I198" s="158"/>
    </row>
    <row r="199" spans="1:9" x14ac:dyDescent="0.35">
      <c r="A199" s="161"/>
      <c r="B199" s="158"/>
      <c r="C199" s="160"/>
      <c r="D199" s="160"/>
      <c r="E199" s="160"/>
      <c r="F199" s="163">
        <f t="shared" ref="F199:H217" si="5">IF(F97="x",$E97,0)</f>
        <v>0</v>
      </c>
      <c r="G199" s="163">
        <f t="shared" si="5"/>
        <v>0</v>
      </c>
      <c r="H199" s="163">
        <f t="shared" si="5"/>
        <v>0</v>
      </c>
      <c r="I199" s="158"/>
    </row>
    <row r="200" spans="1:9" x14ac:dyDescent="0.35">
      <c r="A200" s="161"/>
      <c r="B200" s="158"/>
      <c r="C200" s="160"/>
      <c r="D200" s="160"/>
      <c r="E200" s="160"/>
      <c r="F200" s="163">
        <f t="shared" si="5"/>
        <v>0</v>
      </c>
      <c r="G200" s="163">
        <f t="shared" si="5"/>
        <v>0</v>
      </c>
      <c r="H200" s="163">
        <f t="shared" si="5"/>
        <v>0</v>
      </c>
      <c r="I200" s="158"/>
    </row>
    <row r="201" spans="1:9" x14ac:dyDescent="0.35">
      <c r="A201" s="161"/>
      <c r="B201" s="158"/>
      <c r="C201" s="160"/>
      <c r="D201" s="160"/>
      <c r="E201" s="160"/>
      <c r="F201" s="163">
        <f t="shared" si="5"/>
        <v>0</v>
      </c>
      <c r="G201" s="163">
        <f t="shared" si="5"/>
        <v>0</v>
      </c>
      <c r="H201" s="163">
        <f t="shared" si="5"/>
        <v>0</v>
      </c>
      <c r="I201" s="158"/>
    </row>
    <row r="202" spans="1:9" x14ac:dyDescent="0.35">
      <c r="A202" s="161"/>
      <c r="B202" s="158"/>
      <c r="C202" s="160"/>
      <c r="D202" s="160"/>
      <c r="E202" s="160"/>
      <c r="F202" s="163">
        <f t="shared" si="5"/>
        <v>0</v>
      </c>
      <c r="G202" s="163">
        <f t="shared" si="5"/>
        <v>0</v>
      </c>
      <c r="H202" s="163">
        <f t="shared" si="5"/>
        <v>0</v>
      </c>
      <c r="I202" s="158"/>
    </row>
    <row r="203" spans="1:9" x14ac:dyDescent="0.35">
      <c r="A203" s="161"/>
      <c r="B203" s="158"/>
      <c r="C203" s="160"/>
      <c r="D203" s="160"/>
      <c r="E203" s="160"/>
      <c r="F203" s="163">
        <f t="shared" si="5"/>
        <v>0</v>
      </c>
      <c r="G203" s="163">
        <f t="shared" si="5"/>
        <v>0</v>
      </c>
      <c r="H203" s="163">
        <f t="shared" si="5"/>
        <v>0</v>
      </c>
      <c r="I203" s="158"/>
    </row>
    <row r="204" spans="1:9" x14ac:dyDescent="0.35">
      <c r="A204" s="161"/>
      <c r="B204" s="158"/>
      <c r="C204" s="160"/>
      <c r="D204" s="160"/>
      <c r="E204" s="160"/>
      <c r="F204" s="163">
        <f t="shared" si="5"/>
        <v>0</v>
      </c>
      <c r="G204" s="163">
        <f t="shared" si="5"/>
        <v>0</v>
      </c>
      <c r="H204" s="163">
        <f t="shared" si="5"/>
        <v>0</v>
      </c>
      <c r="I204" s="158"/>
    </row>
    <row r="205" spans="1:9" x14ac:dyDescent="0.35">
      <c r="A205" s="161"/>
      <c r="B205" s="158"/>
      <c r="C205" s="160"/>
      <c r="D205" s="158"/>
      <c r="E205" s="158"/>
      <c r="F205" s="163">
        <f t="shared" si="5"/>
        <v>0</v>
      </c>
      <c r="G205" s="163">
        <f t="shared" si="5"/>
        <v>0</v>
      </c>
      <c r="H205" s="163">
        <f t="shared" si="5"/>
        <v>0</v>
      </c>
      <c r="I205" s="158"/>
    </row>
    <row r="206" spans="1:9" x14ac:dyDescent="0.35">
      <c r="A206" s="161"/>
      <c r="B206" s="158"/>
      <c r="C206" s="160"/>
      <c r="D206" s="158"/>
      <c r="E206" s="158"/>
      <c r="F206" s="163">
        <f t="shared" si="5"/>
        <v>0</v>
      </c>
      <c r="G206" s="163">
        <f t="shared" si="5"/>
        <v>0</v>
      </c>
      <c r="H206" s="163">
        <f t="shared" si="5"/>
        <v>0</v>
      </c>
      <c r="I206" s="158"/>
    </row>
    <row r="207" spans="1:9" x14ac:dyDescent="0.35">
      <c r="A207" s="161"/>
      <c r="B207" s="158"/>
      <c r="C207" s="160"/>
      <c r="D207" s="158"/>
      <c r="E207" s="158"/>
      <c r="F207" s="163">
        <f t="shared" si="5"/>
        <v>0</v>
      </c>
      <c r="G207" s="163">
        <f t="shared" si="5"/>
        <v>0</v>
      </c>
      <c r="H207" s="163">
        <f t="shared" si="5"/>
        <v>0</v>
      </c>
      <c r="I207" s="158"/>
    </row>
    <row r="208" spans="1:9" x14ac:dyDescent="0.35">
      <c r="A208" s="161"/>
      <c r="B208" s="158"/>
      <c r="C208" s="160"/>
      <c r="D208" s="158"/>
      <c r="E208" s="158"/>
      <c r="F208" s="163">
        <f t="shared" si="5"/>
        <v>0</v>
      </c>
      <c r="G208" s="163">
        <f t="shared" si="5"/>
        <v>0</v>
      </c>
      <c r="H208" s="163">
        <f t="shared" si="5"/>
        <v>0</v>
      </c>
      <c r="I208" s="158"/>
    </row>
    <row r="209" spans="1:9" x14ac:dyDescent="0.35">
      <c r="A209" s="161"/>
      <c r="B209" s="158"/>
      <c r="C209" s="160"/>
      <c r="D209" s="158"/>
      <c r="E209" s="158"/>
      <c r="F209" s="163">
        <f t="shared" si="5"/>
        <v>0</v>
      </c>
      <c r="G209" s="163">
        <f t="shared" si="5"/>
        <v>0</v>
      </c>
      <c r="H209" s="163">
        <f t="shared" si="5"/>
        <v>0</v>
      </c>
      <c r="I209" s="158"/>
    </row>
    <row r="210" spans="1:9" x14ac:dyDescent="0.35">
      <c r="A210" s="161"/>
      <c r="B210" s="158"/>
      <c r="C210" s="160"/>
      <c r="D210" s="158"/>
      <c r="E210" s="158"/>
      <c r="F210" s="163">
        <f t="shared" si="5"/>
        <v>0</v>
      </c>
      <c r="G210" s="163">
        <f t="shared" si="5"/>
        <v>0</v>
      </c>
      <c r="H210" s="163">
        <f t="shared" si="5"/>
        <v>0</v>
      </c>
      <c r="I210" s="158"/>
    </row>
    <row r="211" spans="1:9" x14ac:dyDescent="0.35">
      <c r="A211" s="161"/>
      <c r="B211" s="158"/>
      <c r="C211" s="160"/>
      <c r="D211" s="158"/>
      <c r="E211" s="158"/>
      <c r="F211" s="163">
        <f t="shared" si="5"/>
        <v>0</v>
      </c>
      <c r="G211" s="163">
        <f t="shared" si="5"/>
        <v>0</v>
      </c>
      <c r="H211" s="163">
        <f t="shared" si="5"/>
        <v>0</v>
      </c>
      <c r="I211" s="158"/>
    </row>
    <row r="212" spans="1:9" x14ac:dyDescent="0.35">
      <c r="A212" s="161"/>
      <c r="B212" s="158"/>
      <c r="C212" s="160"/>
      <c r="D212" s="158"/>
      <c r="E212" s="158"/>
      <c r="F212" s="163">
        <f t="shared" si="5"/>
        <v>0</v>
      </c>
      <c r="G212" s="163">
        <f t="shared" si="5"/>
        <v>0</v>
      </c>
      <c r="H212" s="163">
        <f t="shared" si="5"/>
        <v>0</v>
      </c>
      <c r="I212" s="158"/>
    </row>
    <row r="213" spans="1:9" x14ac:dyDescent="0.35">
      <c r="A213" s="161"/>
      <c r="B213" s="158"/>
      <c r="C213" s="160"/>
      <c r="D213" s="158"/>
      <c r="E213" s="158"/>
      <c r="F213" s="163">
        <f t="shared" si="5"/>
        <v>0</v>
      </c>
      <c r="G213" s="163">
        <f t="shared" si="5"/>
        <v>0</v>
      </c>
      <c r="H213" s="163">
        <f t="shared" si="5"/>
        <v>0</v>
      </c>
      <c r="I213" s="158"/>
    </row>
    <row r="214" spans="1:9" x14ac:dyDescent="0.35">
      <c r="A214" s="161"/>
      <c r="B214" s="158"/>
      <c r="C214" s="160"/>
      <c r="D214" s="158"/>
      <c r="E214" s="158"/>
      <c r="F214" s="163">
        <f t="shared" si="5"/>
        <v>0</v>
      </c>
      <c r="G214" s="163">
        <f t="shared" si="5"/>
        <v>0</v>
      </c>
      <c r="H214" s="163">
        <f t="shared" si="5"/>
        <v>0</v>
      </c>
      <c r="I214" s="158"/>
    </row>
    <row r="215" spans="1:9" x14ac:dyDescent="0.35">
      <c r="A215" s="161"/>
      <c r="B215" s="158"/>
      <c r="C215" s="160"/>
      <c r="D215" s="158"/>
      <c r="E215" s="158"/>
      <c r="F215" s="163">
        <f t="shared" si="5"/>
        <v>0</v>
      </c>
      <c r="G215" s="163">
        <f t="shared" si="5"/>
        <v>0</v>
      </c>
      <c r="H215" s="163">
        <f t="shared" si="5"/>
        <v>0</v>
      </c>
      <c r="I215" s="158"/>
    </row>
    <row r="216" spans="1:9" ht="15" thickBot="1" x14ac:dyDescent="0.4">
      <c r="A216" s="161"/>
      <c r="B216" s="158"/>
      <c r="C216" s="160"/>
      <c r="D216" s="158"/>
      <c r="E216" s="158"/>
      <c r="F216" s="162">
        <f t="shared" si="5"/>
        <v>0</v>
      </c>
      <c r="G216" s="162">
        <f t="shared" si="5"/>
        <v>0</v>
      </c>
      <c r="H216" s="162">
        <f t="shared" si="5"/>
        <v>0</v>
      </c>
      <c r="I216" s="158"/>
    </row>
    <row r="217" spans="1:9" ht="15" thickBot="1" x14ac:dyDescent="0.4">
      <c r="A217" s="161"/>
      <c r="B217" s="158"/>
      <c r="C217" s="160"/>
      <c r="D217" s="158"/>
      <c r="E217" s="158"/>
      <c r="F217" s="159">
        <f t="shared" si="5"/>
        <v>0</v>
      </c>
      <c r="G217" s="159">
        <f t="shared" si="5"/>
        <v>0</v>
      </c>
      <c r="H217" s="159">
        <f t="shared" si="5"/>
        <v>0</v>
      </c>
      <c r="I217" s="158"/>
    </row>
  </sheetData>
  <mergeCells count="1">
    <mergeCell ref="B1:D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Financial impact rollup</vt:lpstr>
      <vt:lpstr>SMED</vt:lpstr>
      <vt:lpstr>TPM</vt:lpstr>
      <vt:lpstr>Inventory</vt:lpstr>
      <vt:lpstr>Quality</vt:lpstr>
      <vt:lpstr>5-S</vt:lpstr>
      <vt:lpstr>Training Level</vt:lpstr>
      <vt:lpstr>POUS</vt:lpstr>
      <vt:lpstr>Transportation</vt:lpstr>
      <vt:lpstr>Turnover</vt:lpstr>
      <vt:lpstr>Floor Space</vt:lpstr>
      <vt:lpstr>Top Line Growth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Conner</dc:creator>
  <cp:lastModifiedBy>Gary Conner</cp:lastModifiedBy>
  <dcterms:created xsi:type="dcterms:W3CDTF">2016-06-21T15:49:20Z</dcterms:created>
  <dcterms:modified xsi:type="dcterms:W3CDTF">2017-09-25T13:19:30Z</dcterms:modified>
</cp:coreProperties>
</file>